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127"/>
  <workbookPr codeName="ThisWorkbook"/>
  <mc:AlternateContent xmlns:mc="http://schemas.openxmlformats.org/markup-compatibility/2006">
    <mc:Choice Requires="x15">
      <x15ac:absPath xmlns:x15ac="http://schemas.microsoft.com/office/spreadsheetml/2010/11/ac" url="C:\Users\Aurea\Documents\Libros\Costos\Programas costos\Presupuestos UVM\"/>
    </mc:Choice>
  </mc:AlternateContent>
  <bookViews>
    <workbookView xWindow="0" yWindow="0" windowWidth="16395" windowHeight="7455" firstSheet="4" activeTab="5"/>
  </bookViews>
  <sheets>
    <sheet name="Generador de obra" sheetId="1" r:id="rId1"/>
    <sheet name="Ruta critica propuesta" sheetId="11" r:id="rId2"/>
    <sheet name="Ruta critica lineal q" sheetId="8" r:id="rId3"/>
    <sheet name="Diagrama de Gant" sheetId="9" r:id="rId4"/>
    <sheet name="Ruta de Materiales" sheetId="15" r:id="rId5"/>
    <sheet name="Matrices Costo Directo" sheetId="3" r:id="rId6"/>
    <sheet name="Materiales" sheetId="2" r:id="rId7"/>
    <sheet name="Mano de Obra" sheetId="7" r:id="rId8"/>
    <sheet name="Presupuesto" sheetId="5" r:id="rId9"/>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44" i="1" l="1"/>
  <c r="K143" i="1"/>
  <c r="I106" i="1"/>
  <c r="I107" i="1"/>
  <c r="I108" i="1"/>
  <c r="I109" i="1"/>
  <c r="I110" i="1"/>
  <c r="I111" i="1"/>
  <c r="I112" i="1"/>
  <c r="I113" i="1"/>
  <c r="I114" i="1"/>
  <c r="I115" i="1"/>
  <c r="I116" i="1"/>
  <c r="I117" i="1"/>
  <c r="I136" i="1"/>
  <c r="I119" i="1"/>
  <c r="I118" i="1"/>
  <c r="I120" i="1"/>
  <c r="I123" i="1"/>
  <c r="I124" i="1"/>
  <c r="I125" i="1"/>
  <c r="I126" i="1"/>
  <c r="I127" i="1"/>
  <c r="I128" i="1"/>
  <c r="I129" i="1"/>
  <c r="I130" i="1"/>
  <c r="I131" i="1"/>
  <c r="I132" i="1"/>
  <c r="I133" i="1"/>
  <c r="I134" i="1"/>
  <c r="I135" i="1"/>
  <c r="J104" i="1"/>
  <c r="J98" i="1"/>
  <c r="J184" i="1"/>
  <c r="J248" i="1"/>
  <c r="J252" i="1"/>
  <c r="J251" i="1"/>
  <c r="J253" i="1"/>
  <c r="I179" i="1"/>
  <c r="I180" i="1"/>
  <c r="I182" i="1"/>
  <c r="J178" i="1"/>
  <c r="I151" i="1"/>
  <c r="I152" i="1"/>
  <c r="I153" i="1"/>
  <c r="I154" i="1"/>
  <c r="I155" i="1"/>
  <c r="I156" i="1"/>
  <c r="I157" i="1"/>
  <c r="I158" i="1"/>
  <c r="I159" i="1"/>
  <c r="I160" i="1"/>
  <c r="I161" i="1"/>
  <c r="I162" i="1"/>
  <c r="I163" i="1"/>
  <c r="I164" i="1"/>
  <c r="I165" i="1"/>
  <c r="I167" i="1"/>
  <c r="I168" i="1"/>
  <c r="I169" i="1"/>
  <c r="I170" i="1"/>
  <c r="I171" i="1"/>
  <c r="I172" i="1"/>
  <c r="I173" i="1"/>
  <c r="I174" i="1"/>
  <c r="I176" i="1"/>
  <c r="I175" i="1"/>
  <c r="J149" i="1"/>
  <c r="I75" i="1"/>
  <c r="I76" i="1"/>
  <c r="I77" i="1"/>
  <c r="I78" i="1"/>
  <c r="I79" i="1"/>
  <c r="I80" i="1"/>
  <c r="I81" i="1"/>
  <c r="I82" i="1"/>
  <c r="I83" i="1"/>
  <c r="I84" i="1"/>
  <c r="I85" i="1"/>
  <c r="I86" i="1"/>
  <c r="I87" i="1"/>
  <c r="I88" i="1"/>
  <c r="I89" i="1"/>
  <c r="J74" i="1"/>
  <c r="J56" i="1"/>
  <c r="I40" i="1"/>
  <c r="I41" i="1"/>
  <c r="I42" i="1"/>
  <c r="I43" i="1"/>
  <c r="I48" i="1"/>
  <c r="I50" i="1"/>
  <c r="I54" i="1"/>
  <c r="I51" i="1"/>
  <c r="I44" i="1"/>
  <c r="I45" i="1"/>
  <c r="I46" i="1"/>
  <c r="I47" i="1"/>
  <c r="I49" i="1"/>
  <c r="I52" i="1"/>
  <c r="I53" i="1"/>
  <c r="I140" i="1"/>
  <c r="I141" i="1"/>
  <c r="I142" i="1"/>
  <c r="I143" i="1"/>
  <c r="I144" i="1"/>
  <c r="I145" i="1"/>
  <c r="I146" i="1"/>
  <c r="I24" i="1"/>
  <c r="I25" i="1"/>
  <c r="I26" i="1"/>
  <c r="I27" i="1"/>
  <c r="I31" i="1"/>
  <c r="I33" i="1"/>
  <c r="I34" i="1"/>
  <c r="I35" i="1"/>
  <c r="I36" i="1"/>
  <c r="I37" i="1"/>
  <c r="I32" i="1"/>
  <c r="I23" i="1"/>
  <c r="I28" i="1"/>
  <c r="I29" i="1"/>
  <c r="I30" i="1"/>
  <c r="J10" i="1"/>
  <c r="I271" i="1" s="1"/>
  <c r="A23" i="15"/>
  <c r="K96" i="3"/>
  <c r="I96" i="3"/>
  <c r="L24" i="15"/>
  <c r="I198" i="3"/>
  <c r="K198" i="3"/>
  <c r="L198" i="3" s="1"/>
  <c r="I197" i="3"/>
  <c r="K197" i="3" s="1"/>
  <c r="L197" i="3"/>
  <c r="Q23" i="15" s="1"/>
  <c r="I196" i="3"/>
  <c r="K196" i="3" s="1"/>
  <c r="L196" i="3"/>
  <c r="Q22" i="15" s="1"/>
  <c r="I195" i="3"/>
  <c r="J224" i="3"/>
  <c r="J123" i="3"/>
  <c r="A54" i="15"/>
  <c r="A64" i="15"/>
  <c r="N119" i="3"/>
  <c r="I24" i="15" s="1"/>
  <c r="I116" i="3"/>
  <c r="L116" i="3" s="1"/>
  <c r="I117" i="3"/>
  <c r="L117" i="3"/>
  <c r="N117" i="3" s="1"/>
  <c r="I23" i="15"/>
  <c r="I118" i="3"/>
  <c r="L118" i="3" s="1"/>
  <c r="I115" i="3"/>
  <c r="F103" i="3"/>
  <c r="I103" i="3" s="1"/>
  <c r="J103" i="3" s="1"/>
  <c r="F24" i="15" s="1"/>
  <c r="A68" i="15"/>
  <c r="A59" i="15"/>
  <c r="A58" i="15"/>
  <c r="A52" i="15"/>
  <c r="A47" i="15"/>
  <c r="A48" i="15"/>
  <c r="A49" i="15"/>
  <c r="A50" i="15"/>
  <c r="A51" i="15"/>
  <c r="A45" i="15"/>
  <c r="A46" i="15"/>
  <c r="A44" i="15"/>
  <c r="N116" i="3"/>
  <c r="I22" i="15" s="1"/>
  <c r="K116" i="3"/>
  <c r="M116" i="3" s="1"/>
  <c r="H22" i="15" s="1"/>
  <c r="K117" i="3"/>
  <c r="M117" i="3"/>
  <c r="H23" i="15" s="1"/>
  <c r="K195" i="3"/>
  <c r="L195" i="3" s="1"/>
  <c r="Q21" i="15" s="1"/>
  <c r="A43" i="15"/>
  <c r="A42" i="15"/>
  <c r="A41" i="15"/>
  <c r="A40" i="15"/>
  <c r="A39" i="15"/>
  <c r="A38" i="15"/>
  <c r="A37" i="15"/>
  <c r="A36" i="15"/>
  <c r="A35" i="15"/>
  <c r="D124" i="3"/>
  <c r="D10" i="9"/>
  <c r="A27" i="15"/>
  <c r="A30" i="15"/>
  <c r="A29" i="15"/>
  <c r="A28" i="15"/>
  <c r="A26" i="15"/>
  <c r="A25" i="15"/>
  <c r="A24" i="15"/>
  <c r="A22" i="15"/>
  <c r="A21" i="15"/>
  <c r="B20" i="9"/>
  <c r="F8" i="11"/>
  <c r="G8" i="11"/>
  <c r="B8" i="11"/>
  <c r="C44" i="9"/>
  <c r="C43" i="9"/>
  <c r="B43" i="9"/>
  <c r="D43" i="9" s="1"/>
  <c r="B44" i="9"/>
  <c r="D44" i="9" s="1"/>
  <c r="B45" i="9" s="1"/>
  <c r="D45" i="9" s="1"/>
  <c r="D4" i="9"/>
  <c r="B5" i="9" s="1"/>
  <c r="B7" i="9" s="1"/>
  <c r="D7" i="9" s="1"/>
  <c r="D5" i="9"/>
  <c r="B6" i="9" s="1"/>
  <c r="D6" i="9" s="1"/>
  <c r="B9" i="9" s="1"/>
  <c r="C16" i="9"/>
  <c r="C55" i="9"/>
  <c r="C17" i="9"/>
  <c r="C56" i="9"/>
  <c r="C57" i="9"/>
  <c r="C15" i="9"/>
  <c r="C54" i="9" s="1"/>
  <c r="C53" i="9"/>
  <c r="C50" i="9"/>
  <c r="C12" i="9"/>
  <c r="C51" i="9" s="1"/>
  <c r="C13" i="9"/>
  <c r="C52" i="9" s="1"/>
  <c r="C49" i="9"/>
  <c r="C48" i="9"/>
  <c r="C7" i="9"/>
  <c r="C47" i="9"/>
  <c r="C45" i="9"/>
  <c r="B8" i="8"/>
  <c r="F8" i="8"/>
  <c r="G8" i="8" s="1"/>
  <c r="H574" i="3"/>
  <c r="G572" i="3"/>
  <c r="D571" i="3"/>
  <c r="A67" i="15" s="1"/>
  <c r="D572" i="3"/>
  <c r="E569" i="3"/>
  <c r="E570" i="3"/>
  <c r="E571" i="3"/>
  <c r="E572" i="3"/>
  <c r="E573" i="3"/>
  <c r="E568" i="3"/>
  <c r="B562" i="3"/>
  <c r="D560" i="3"/>
  <c r="G558" i="3"/>
  <c r="H558" i="3" s="1"/>
  <c r="G557" i="3"/>
  <c r="H557" i="3" s="1"/>
  <c r="G556" i="3"/>
  <c r="H556" i="3" s="1"/>
  <c r="G555" i="3"/>
  <c r="H555" i="3" s="1"/>
  <c r="D558" i="3"/>
  <c r="D573" i="3" s="1"/>
  <c r="D557" i="3"/>
  <c r="A65" i="15" s="1"/>
  <c r="D556" i="3"/>
  <c r="A63" i="15" s="1"/>
  <c r="D555" i="3"/>
  <c r="D554" i="3"/>
  <c r="D569" i="3" s="1"/>
  <c r="E130" i="2"/>
  <c r="G554" i="3" s="1"/>
  <c r="H554" i="3" s="1"/>
  <c r="E131" i="2"/>
  <c r="D553" i="3"/>
  <c r="A60" i="15" s="1"/>
  <c r="H132" i="2"/>
  <c r="H134" i="2"/>
  <c r="G553" i="3" s="1"/>
  <c r="H553" i="3" s="1"/>
  <c r="B547" i="3"/>
  <c r="A66" i="15"/>
  <c r="D568" i="3"/>
  <c r="D9" i="9"/>
  <c r="B8" i="9" s="1"/>
  <c r="D8" i="9" s="1"/>
  <c r="B13" i="9"/>
  <c r="H178" i="3"/>
  <c r="H176" i="3"/>
  <c r="B176" i="3"/>
  <c r="H163" i="3"/>
  <c r="G169" i="3"/>
  <c r="G170" i="3"/>
  <c r="H170" i="3" s="1"/>
  <c r="G171" i="3"/>
  <c r="H171" i="3" s="1"/>
  <c r="G172" i="3"/>
  <c r="H172" i="3" s="1"/>
  <c r="D172" i="3"/>
  <c r="D171" i="3"/>
  <c r="D170" i="3"/>
  <c r="F169" i="3"/>
  <c r="H164" i="3" s="1"/>
  <c r="D169" i="3"/>
  <c r="J95" i="1"/>
  <c r="H177" i="3" s="1"/>
  <c r="H179" i="3" s="1"/>
  <c r="D163" i="2"/>
  <c r="F174" i="3"/>
  <c r="E174" i="3"/>
  <c r="D174" i="3"/>
  <c r="B163" i="3"/>
  <c r="G161" i="3"/>
  <c r="H154" i="3" s="1"/>
  <c r="F161" i="3"/>
  <c r="H153" i="3" s="1"/>
  <c r="E161" i="3"/>
  <c r="H152" i="3" s="1"/>
  <c r="D161" i="3"/>
  <c r="B152" i="3"/>
  <c r="F533" i="3"/>
  <c r="B527" i="3"/>
  <c r="D665" i="3"/>
  <c r="C28" i="7"/>
  <c r="G665" i="3" s="1"/>
  <c r="H661" i="3" s="1"/>
  <c r="G362" i="3"/>
  <c r="H362" i="3" s="1"/>
  <c r="F360" i="3"/>
  <c r="H359" i="3"/>
  <c r="F362" i="3"/>
  <c r="H354" i="3" s="1"/>
  <c r="G351" i="3"/>
  <c r="G348" i="3"/>
  <c r="D348" i="3"/>
  <c r="D360" i="3" s="1"/>
  <c r="F347" i="3"/>
  <c r="F348" i="3" s="1"/>
  <c r="F351" i="3" s="1"/>
  <c r="H343" i="3" s="1"/>
  <c r="K223" i="1"/>
  <c r="K221" i="1" s="1"/>
  <c r="D351" i="3"/>
  <c r="D362" i="3" s="1"/>
  <c r="D359" i="3"/>
  <c r="E347" i="3"/>
  <c r="H342" i="3" s="1"/>
  <c r="D347" i="3"/>
  <c r="E44" i="2"/>
  <c r="D44" i="2"/>
  <c r="F484" i="3"/>
  <c r="G489" i="3"/>
  <c r="H489" i="3" s="1"/>
  <c r="G441" i="3"/>
  <c r="D441" i="3"/>
  <c r="H14" i="3"/>
  <c r="H12" i="3"/>
  <c r="B12" i="3"/>
  <c r="G633" i="3"/>
  <c r="D633" i="3"/>
  <c r="D631" i="3"/>
  <c r="A69" i="15" s="1"/>
  <c r="G644" i="3"/>
  <c r="H638" i="3" s="1"/>
  <c r="D644" i="3"/>
  <c r="B636" i="3"/>
  <c r="D642" i="3"/>
  <c r="A70" i="15" s="1"/>
  <c r="B626" i="3"/>
  <c r="G430" i="3"/>
  <c r="E430" i="3"/>
  <c r="D430" i="3"/>
  <c r="G410" i="3"/>
  <c r="H410" i="3" s="1"/>
  <c r="E410" i="3"/>
  <c r="D410" i="3"/>
  <c r="E400" i="3"/>
  <c r="D400" i="3"/>
  <c r="C21" i="7"/>
  <c r="G400" i="3" s="1"/>
  <c r="G386" i="3"/>
  <c r="H382" i="3" s="1"/>
  <c r="H370" i="3"/>
  <c r="G376" i="3"/>
  <c r="H7" i="3"/>
  <c r="H8" i="3"/>
  <c r="H9" i="3" s="1"/>
  <c r="H10" i="3" s="1"/>
  <c r="B7" i="3"/>
  <c r="C242" i="3"/>
  <c r="B242" i="3"/>
  <c r="D238" i="3"/>
  <c r="D239" i="3"/>
  <c r="D240" i="3"/>
  <c r="B231" i="3"/>
  <c r="H650" i="3"/>
  <c r="H649" i="3"/>
  <c r="G654" i="3"/>
  <c r="H654" i="3" s="1"/>
  <c r="D654" i="3"/>
  <c r="G522" i="3"/>
  <c r="G538" i="3" s="1"/>
  <c r="F508" i="3"/>
  <c r="F524" i="3" s="1"/>
  <c r="F540" i="3"/>
  <c r="E492" i="3"/>
  <c r="E508" i="3"/>
  <c r="E524" i="3" s="1"/>
  <c r="E540" i="3" s="1"/>
  <c r="E484" i="3"/>
  <c r="E500" i="3"/>
  <c r="E517" i="3" s="1"/>
  <c r="E533" i="3"/>
  <c r="E485" i="3"/>
  <c r="E501" i="3"/>
  <c r="E518" i="3" s="1"/>
  <c r="E534" i="3" s="1"/>
  <c r="F485" i="3"/>
  <c r="F501" i="3"/>
  <c r="F518" i="3" s="1"/>
  <c r="F534" i="3"/>
  <c r="E486" i="3"/>
  <c r="E502" i="3"/>
  <c r="E519" i="3" s="1"/>
  <c r="E535" i="3" s="1"/>
  <c r="F486" i="3"/>
  <c r="F502" i="3"/>
  <c r="F519" i="3" s="1"/>
  <c r="F535" i="3"/>
  <c r="F487" i="3"/>
  <c r="F503" i="3"/>
  <c r="F520" i="3" s="1"/>
  <c r="F536" i="3" s="1"/>
  <c r="E488" i="3"/>
  <c r="E504" i="3"/>
  <c r="E521" i="3" s="1"/>
  <c r="E537" i="3"/>
  <c r="F488" i="3"/>
  <c r="D488" i="3"/>
  <c r="D504" i="3" s="1"/>
  <c r="D484" i="3"/>
  <c r="D500" i="3"/>
  <c r="D517" i="3" s="1"/>
  <c r="D533" i="3" s="1"/>
  <c r="G475" i="3"/>
  <c r="H475" i="3" s="1"/>
  <c r="H492" i="3" s="1"/>
  <c r="H508" i="3" s="1"/>
  <c r="H524" i="3" s="1"/>
  <c r="H540" i="3" s="1"/>
  <c r="D475" i="3"/>
  <c r="D492" i="3" s="1"/>
  <c r="D508" i="3" s="1"/>
  <c r="D524" i="3" s="1"/>
  <c r="D540" i="3" s="1"/>
  <c r="G471" i="3"/>
  <c r="H471" i="3" s="1"/>
  <c r="H488" i="3" s="1"/>
  <c r="G470" i="3"/>
  <c r="H470" i="3" s="1"/>
  <c r="H487" i="3" s="1"/>
  <c r="H503" i="3" s="1"/>
  <c r="H520" i="3" s="1"/>
  <c r="H536" i="3" s="1"/>
  <c r="G469" i="3"/>
  <c r="H469" i="3" s="1"/>
  <c r="H486" i="3" s="1"/>
  <c r="H502" i="3" s="1"/>
  <c r="H519" i="3" s="1"/>
  <c r="H535" i="3" s="1"/>
  <c r="G468" i="3"/>
  <c r="H468" i="3" s="1"/>
  <c r="H485" i="3" s="1"/>
  <c r="H501" i="3" s="1"/>
  <c r="H518" i="3" s="1"/>
  <c r="H534" i="3" s="1"/>
  <c r="G467" i="3"/>
  <c r="H467" i="3" s="1"/>
  <c r="H484" i="3" s="1"/>
  <c r="E470" i="3"/>
  <c r="E487" i="3" s="1"/>
  <c r="E503" i="3" s="1"/>
  <c r="E520" i="3" s="1"/>
  <c r="E536" i="3" s="1"/>
  <c r="D470" i="3"/>
  <c r="D469" i="3"/>
  <c r="D486" i="3" s="1"/>
  <c r="D502" i="3" s="1"/>
  <c r="D519" i="3" s="1"/>
  <c r="D535" i="3" s="1"/>
  <c r="D468" i="3"/>
  <c r="D485" i="3" s="1"/>
  <c r="D501" i="3" s="1"/>
  <c r="D518" i="3" s="1"/>
  <c r="D534" i="3" s="1"/>
  <c r="G80" i="3"/>
  <c r="H80" i="3" s="1"/>
  <c r="G81" i="3"/>
  <c r="H81" i="3" s="1"/>
  <c r="G79" i="3"/>
  <c r="H79" i="3" s="1"/>
  <c r="H124" i="3"/>
  <c r="G123" i="3"/>
  <c r="H123" i="3" s="1"/>
  <c r="D123" i="3"/>
  <c r="H260" i="3"/>
  <c r="H286" i="3"/>
  <c r="G261" i="3"/>
  <c r="H261" i="3" s="1"/>
  <c r="G287" i="3"/>
  <c r="F311" i="3"/>
  <c r="H311" i="3" s="1"/>
  <c r="C29" i="2"/>
  <c r="G452" i="3"/>
  <c r="A56" i="15"/>
  <c r="B14" i="9"/>
  <c r="D14" i="9" s="1"/>
  <c r="B11" i="9"/>
  <c r="B12" i="9" s="1"/>
  <c r="D12" i="9" s="1"/>
  <c r="G174" i="3"/>
  <c r="H165" i="3" s="1"/>
  <c r="H348" i="3"/>
  <c r="D521" i="3"/>
  <c r="D537" i="3" s="1"/>
  <c r="H651" i="3"/>
  <c r="H652" i="3" s="1"/>
  <c r="E656" i="3" s="1"/>
  <c r="E21" i="5" s="1"/>
  <c r="G488" i="3"/>
  <c r="G504" i="3" s="1"/>
  <c r="H504" i="3" s="1"/>
  <c r="G124" i="3"/>
  <c r="A9" i="5"/>
  <c r="A5" i="5"/>
  <c r="A3" i="5"/>
  <c r="B659" i="3"/>
  <c r="B649" i="3"/>
  <c r="H325" i="3"/>
  <c r="G340" i="3"/>
  <c r="D340" i="3"/>
  <c r="G338" i="3"/>
  <c r="H338" i="3"/>
  <c r="D338" i="3"/>
  <c r="E337" i="3"/>
  <c r="E338" i="3" s="1"/>
  <c r="E340" i="3" s="1"/>
  <c r="D337" i="3"/>
  <c r="F335" i="3"/>
  <c r="I335" i="3" s="1"/>
  <c r="K335" i="3" s="1"/>
  <c r="F334" i="3"/>
  <c r="F333" i="3"/>
  <c r="I333" i="3" s="1"/>
  <c r="F332" i="3"/>
  <c r="I332" i="3" s="1"/>
  <c r="K332" i="3" s="1"/>
  <c r="L332" i="3" s="1"/>
  <c r="P21" i="15" s="1"/>
  <c r="E331" i="3"/>
  <c r="B18" i="7"/>
  <c r="B25" i="7"/>
  <c r="B26" i="7" s="1"/>
  <c r="B27" i="7"/>
  <c r="B28" i="7" s="1"/>
  <c r="E665" i="3" s="1"/>
  <c r="H659" i="3" s="1"/>
  <c r="G617" i="3"/>
  <c r="E617" i="3"/>
  <c r="D617" i="3"/>
  <c r="G455" i="3"/>
  <c r="H448" i="3"/>
  <c r="E455" i="3"/>
  <c r="D455" i="3"/>
  <c r="B17" i="7"/>
  <c r="F604" i="3"/>
  <c r="F618" i="3" s="1"/>
  <c r="G592" i="3"/>
  <c r="F592" i="3"/>
  <c r="F605" i="3"/>
  <c r="D592" i="3"/>
  <c r="D605" i="3" s="1"/>
  <c r="G595" i="3"/>
  <c r="G609" i="3" s="1"/>
  <c r="G621" i="3" s="1"/>
  <c r="H621" i="3" s="1"/>
  <c r="G594" i="3"/>
  <c r="G608" i="3" s="1"/>
  <c r="E595" i="3"/>
  <c r="E609" i="3" s="1"/>
  <c r="E594" i="3"/>
  <c r="E608" i="3" s="1"/>
  <c r="D595" i="3"/>
  <c r="D609" i="3" s="1"/>
  <c r="D618" i="3" s="1"/>
  <c r="D594" i="3"/>
  <c r="D608" i="3" s="1"/>
  <c r="G591" i="3"/>
  <c r="H591" i="3" s="1"/>
  <c r="E591" i="3"/>
  <c r="E604" i="3" s="1"/>
  <c r="D591" i="3"/>
  <c r="D604" i="3" s="1"/>
  <c r="G590" i="3"/>
  <c r="G603" i="3" s="1"/>
  <c r="E590" i="3"/>
  <c r="E592" i="3" s="1"/>
  <c r="E605" i="3" s="1"/>
  <c r="D590" i="3"/>
  <c r="D603" i="3" s="1"/>
  <c r="H296" i="3"/>
  <c r="G319" i="3"/>
  <c r="E319" i="3"/>
  <c r="D319" i="3"/>
  <c r="B296" i="3"/>
  <c r="H271" i="3"/>
  <c r="G294" i="3"/>
  <c r="E294" i="3"/>
  <c r="D294" i="3"/>
  <c r="G291" i="3"/>
  <c r="H291" i="3" s="1"/>
  <c r="G290" i="3"/>
  <c r="G289" i="3"/>
  <c r="G314" i="3" s="1"/>
  <c r="G288" i="3"/>
  <c r="G285" i="3"/>
  <c r="F285" i="3"/>
  <c r="F288" i="3"/>
  <c r="F289" i="3"/>
  <c r="F314" i="3"/>
  <c r="F290" i="3"/>
  <c r="F315" i="3"/>
  <c r="F291" i="3"/>
  <c r="F316" i="3"/>
  <c r="E285" i="3"/>
  <c r="E310" i="3"/>
  <c r="E287" i="3"/>
  <c r="E288" i="3"/>
  <c r="E313" i="3" s="1"/>
  <c r="E289" i="3"/>
  <c r="E314" i="3" s="1"/>
  <c r="E290" i="3"/>
  <c r="E315" i="3" s="1"/>
  <c r="E291" i="3"/>
  <c r="E316" i="3" s="1"/>
  <c r="E284" i="3"/>
  <c r="E309" i="3" s="1"/>
  <c r="F284" i="3"/>
  <c r="F309" i="3" s="1"/>
  <c r="D258" i="3"/>
  <c r="D284" i="3" s="1"/>
  <c r="D309" i="3" s="1"/>
  <c r="G268" i="3"/>
  <c r="D268" i="3"/>
  <c r="H245" i="3"/>
  <c r="E268" i="3"/>
  <c r="G259" i="3"/>
  <c r="H259" i="3" s="1"/>
  <c r="G122" i="3"/>
  <c r="H122" i="3" s="1"/>
  <c r="G263" i="3"/>
  <c r="H263" i="3" s="1"/>
  <c r="G262" i="3"/>
  <c r="H262" i="3" s="1"/>
  <c r="G264" i="3"/>
  <c r="H264" i="3" s="1"/>
  <c r="G265" i="3"/>
  <c r="H265" i="3" s="1"/>
  <c r="D261" i="3"/>
  <c r="D287" i="3" s="1"/>
  <c r="D312" i="3" s="1"/>
  <c r="B245" i="3"/>
  <c r="G229" i="3"/>
  <c r="G242" i="3" s="1"/>
  <c r="E229" i="3"/>
  <c r="E242" i="3" s="1"/>
  <c r="D229" i="3"/>
  <c r="D242" i="3" s="1"/>
  <c r="B11" i="7"/>
  <c r="I224" i="3"/>
  <c r="F224" i="3" s="1"/>
  <c r="B218" i="3"/>
  <c r="G146" i="3"/>
  <c r="E146" i="3"/>
  <c r="H134" i="3" s="1"/>
  <c r="D146" i="3"/>
  <c r="F141" i="3"/>
  <c r="F142" i="3"/>
  <c r="G141" i="3"/>
  <c r="H141" i="3" s="1"/>
  <c r="G142" i="3"/>
  <c r="H142" i="3" s="1"/>
  <c r="G140" i="3"/>
  <c r="H140" i="3" s="1"/>
  <c r="F140" i="3"/>
  <c r="E141" i="3"/>
  <c r="E142" i="3"/>
  <c r="E140" i="3"/>
  <c r="D141" i="3"/>
  <c r="D142" i="3"/>
  <c r="D140" i="3"/>
  <c r="B108" i="3"/>
  <c r="G106" i="3"/>
  <c r="E106" i="3"/>
  <c r="D106" i="3"/>
  <c r="H86" i="3"/>
  <c r="D99" i="3"/>
  <c r="F95" i="3"/>
  <c r="F94" i="3"/>
  <c r="F101" i="3" s="1"/>
  <c r="F93" i="3"/>
  <c r="H611" i="3"/>
  <c r="H597" i="3"/>
  <c r="H584" i="3"/>
  <c r="J259" i="1"/>
  <c r="H612" i="3"/>
  <c r="B597" i="3"/>
  <c r="B611" i="3"/>
  <c r="B584" i="3"/>
  <c r="H528" i="3"/>
  <c r="H527" i="3"/>
  <c r="H512" i="3"/>
  <c r="H511" i="3"/>
  <c r="H495" i="3"/>
  <c r="H494" i="3"/>
  <c r="H478" i="3"/>
  <c r="H477" i="3"/>
  <c r="H462" i="3"/>
  <c r="H461" i="3"/>
  <c r="B477" i="3"/>
  <c r="B494" i="3"/>
  <c r="B511" i="3"/>
  <c r="B461" i="3"/>
  <c r="E452" i="3"/>
  <c r="H446" i="3" s="1"/>
  <c r="D452" i="3"/>
  <c r="A53" i="15" s="1"/>
  <c r="B446" i="3"/>
  <c r="G438" i="3"/>
  <c r="H434" i="3" s="1"/>
  <c r="E438" i="3"/>
  <c r="H432" i="3" s="1"/>
  <c r="D438" i="3"/>
  <c r="G428" i="3"/>
  <c r="E428" i="3"/>
  <c r="D428" i="3"/>
  <c r="G418" i="3"/>
  <c r="H418" i="3" s="1"/>
  <c r="H414" i="3" s="1"/>
  <c r="E418" i="3"/>
  <c r="H412" i="3" s="1"/>
  <c r="D418" i="3"/>
  <c r="D408" i="3"/>
  <c r="G408" i="3"/>
  <c r="E408" i="3"/>
  <c r="H402" i="3" s="1"/>
  <c r="G397" i="3"/>
  <c r="E397" i="3"/>
  <c r="H391" i="3" s="1"/>
  <c r="D397" i="3"/>
  <c r="D386" i="3"/>
  <c r="F386" i="3"/>
  <c r="E386" i="3"/>
  <c r="H380" i="3" s="1"/>
  <c r="F376" i="3"/>
  <c r="D376" i="3"/>
  <c r="B402" i="3"/>
  <c r="B432" i="3"/>
  <c r="B422" i="3"/>
  <c r="B412" i="3"/>
  <c r="B391" i="3"/>
  <c r="B380" i="3"/>
  <c r="B370" i="3"/>
  <c r="F102" i="3"/>
  <c r="I102" i="3" s="1"/>
  <c r="J102" i="3"/>
  <c r="I95" i="3"/>
  <c r="F313" i="3"/>
  <c r="Q24" i="15"/>
  <c r="F310" i="3"/>
  <c r="I94" i="3"/>
  <c r="I101" i="3"/>
  <c r="J101" i="3" s="1"/>
  <c r="I93" i="3"/>
  <c r="F100" i="3"/>
  <c r="I100" i="3" s="1"/>
  <c r="J100" i="3" s="1"/>
  <c r="F21" i="15" s="1"/>
  <c r="K333" i="3"/>
  <c r="L333" i="3" s="1"/>
  <c r="P22" i="15" s="1"/>
  <c r="D11" i="9"/>
  <c r="E441" i="3"/>
  <c r="H371" i="3"/>
  <c r="F617" i="3"/>
  <c r="H617" i="3"/>
  <c r="H288" i="3"/>
  <c r="G313" i="3"/>
  <c r="B353" i="3"/>
  <c r="B342" i="3"/>
  <c r="B325" i="3"/>
  <c r="D260" i="3"/>
  <c r="D286" i="3" s="1"/>
  <c r="D311" i="3" s="1"/>
  <c r="E252" i="3"/>
  <c r="E278" i="3" s="1"/>
  <c r="E303" i="3" s="1"/>
  <c r="E332" i="3" s="1"/>
  <c r="F252" i="3"/>
  <c r="E253" i="3"/>
  <c r="E279" i="3" s="1"/>
  <c r="E304" i="3"/>
  <c r="E333" i="3" s="1"/>
  <c r="F253" i="3"/>
  <c r="F279" i="3" s="1"/>
  <c r="E254" i="3"/>
  <c r="E280" i="3"/>
  <c r="E305" i="3" s="1"/>
  <c r="E334" i="3"/>
  <c r="F254" i="3"/>
  <c r="E255" i="3"/>
  <c r="E281" i="3" s="1"/>
  <c r="E306" i="3" s="1"/>
  <c r="E335" i="3" s="1"/>
  <c r="F255" i="3"/>
  <c r="F281" i="3" s="1"/>
  <c r="I281" i="3" s="1"/>
  <c r="G256" i="3"/>
  <c r="G282" i="3"/>
  <c r="D251" i="3"/>
  <c r="D277" i="3"/>
  <c r="D302" i="3" s="1"/>
  <c r="D224" i="3"/>
  <c r="D237" i="3" s="1"/>
  <c r="G224" i="3"/>
  <c r="H218" i="3"/>
  <c r="E224" i="3" s="1"/>
  <c r="E237" i="3" s="1"/>
  <c r="H231" i="3" s="1"/>
  <c r="B73" i="3"/>
  <c r="I253" i="3"/>
  <c r="K253" i="3" s="1"/>
  <c r="K93" i="3"/>
  <c r="K94" i="3"/>
  <c r="L94" i="3" s="1"/>
  <c r="F22" i="15" s="1"/>
  <c r="F280" i="3"/>
  <c r="I254" i="3"/>
  <c r="F278" i="3"/>
  <c r="I252" i="3"/>
  <c r="K252" i="3" s="1"/>
  <c r="K95" i="3"/>
  <c r="L95" i="3"/>
  <c r="F23" i="15" s="1"/>
  <c r="B15" i="9"/>
  <c r="E226" i="3"/>
  <c r="E239" i="3" s="1"/>
  <c r="B271" i="3"/>
  <c r="D122" i="3"/>
  <c r="G131" i="3"/>
  <c r="H108" i="3"/>
  <c r="D131" i="3"/>
  <c r="F121" i="3"/>
  <c r="G127" i="3"/>
  <c r="H127" i="3" s="1"/>
  <c r="G128" i="3"/>
  <c r="H128" i="3" s="1"/>
  <c r="G126" i="3"/>
  <c r="H126" i="3" s="1"/>
  <c r="G125" i="3"/>
  <c r="H125" i="3" s="1"/>
  <c r="D115" i="3"/>
  <c r="D93" i="3" s="1"/>
  <c r="D100" i="3" s="1"/>
  <c r="F128" i="3"/>
  <c r="J270" i="1"/>
  <c r="F665" i="3" s="1"/>
  <c r="K270" i="1"/>
  <c r="F305" i="3"/>
  <c r="I305" i="3"/>
  <c r="L305" i="3" s="1"/>
  <c r="N305" i="3" s="1"/>
  <c r="O23" i="15" s="1"/>
  <c r="I280" i="3"/>
  <c r="F303" i="3"/>
  <c r="I303" i="3" s="1"/>
  <c r="K303" i="3" s="1"/>
  <c r="I278" i="3"/>
  <c r="M253" i="3"/>
  <c r="K22" i="15" s="1"/>
  <c r="L254" i="3"/>
  <c r="N254" i="3" s="1"/>
  <c r="L23" i="15" s="1"/>
  <c r="L252" i="3"/>
  <c r="N252" i="3" s="1"/>
  <c r="L21" i="15"/>
  <c r="M252" i="3"/>
  <c r="K21" i="15" s="1"/>
  <c r="F306" i="3"/>
  <c r="I306" i="3" s="1"/>
  <c r="H121" i="3"/>
  <c r="B17" i="9"/>
  <c r="D17" i="9" s="1"/>
  <c r="B16" i="9"/>
  <c r="D16" i="9" s="1"/>
  <c r="H660" i="3"/>
  <c r="F237" i="3"/>
  <c r="J237" i="3"/>
  <c r="E227" i="3"/>
  <c r="E240" i="3" s="1"/>
  <c r="K278" i="3"/>
  <c r="L278" i="3" s="1"/>
  <c r="M21" i="15"/>
  <c r="M303" i="3"/>
  <c r="N21" i="15" s="1"/>
  <c r="K280" i="3"/>
  <c r="L280" i="3"/>
  <c r="M23" i="15" s="1"/>
  <c r="K263" i="1"/>
  <c r="J236" i="1"/>
  <c r="F452" i="3"/>
  <c r="H447" i="3"/>
  <c r="F455" i="3"/>
  <c r="H455" i="3" s="1"/>
  <c r="H73" i="3"/>
  <c r="G84" i="3"/>
  <c r="H75" i="3" s="1"/>
  <c r="E84" i="3"/>
  <c r="E92" i="3" s="1"/>
  <c r="D84" i="3"/>
  <c r="E80" i="3"/>
  <c r="E81" i="3"/>
  <c r="E79" i="3"/>
  <c r="D80" i="3"/>
  <c r="D81" i="3"/>
  <c r="D79" i="3"/>
  <c r="H53" i="3"/>
  <c r="G66" i="3"/>
  <c r="E66" i="3"/>
  <c r="G51" i="3"/>
  <c r="H51" i="3" s="1"/>
  <c r="D66" i="3"/>
  <c r="G64" i="3"/>
  <c r="F64" i="3"/>
  <c r="E64" i="3"/>
  <c r="D64" i="3"/>
  <c r="G63" i="3"/>
  <c r="F63" i="3"/>
  <c r="E63" i="3"/>
  <c r="D63" i="3"/>
  <c r="G60" i="3"/>
  <c r="G61" i="3"/>
  <c r="G62" i="3"/>
  <c r="G59" i="3"/>
  <c r="F60" i="3"/>
  <c r="F61" i="3"/>
  <c r="F62" i="3"/>
  <c r="F59" i="3"/>
  <c r="E60" i="3"/>
  <c r="E61" i="3"/>
  <c r="E62" i="3"/>
  <c r="E59" i="3"/>
  <c r="D60" i="3"/>
  <c r="D61" i="3"/>
  <c r="D62" i="3"/>
  <c r="D59" i="3"/>
  <c r="B53" i="3"/>
  <c r="E51" i="3"/>
  <c r="D51" i="3"/>
  <c r="G48" i="3"/>
  <c r="G47" i="3"/>
  <c r="G46" i="3"/>
  <c r="G42" i="3"/>
  <c r="G43" i="3"/>
  <c r="G44" i="3"/>
  <c r="G45" i="3"/>
  <c r="G41" i="3"/>
  <c r="F48" i="3"/>
  <c r="H48" i="3" s="1"/>
  <c r="E48" i="3"/>
  <c r="D48" i="3"/>
  <c r="F47" i="3"/>
  <c r="H47" i="3" s="1"/>
  <c r="F46" i="3"/>
  <c r="H46" i="3" s="1"/>
  <c r="E46" i="3"/>
  <c r="E47" i="3"/>
  <c r="D47" i="3"/>
  <c r="D46" i="3"/>
  <c r="F42" i="3"/>
  <c r="F43" i="3"/>
  <c r="F44" i="3"/>
  <c r="H44" i="3" s="1"/>
  <c r="F45" i="3"/>
  <c r="E43" i="3"/>
  <c r="E44" i="3"/>
  <c r="E45" i="3"/>
  <c r="D43" i="3"/>
  <c r="D44" i="3"/>
  <c r="D45" i="3"/>
  <c r="E42" i="3"/>
  <c r="E41" i="3"/>
  <c r="D42" i="3"/>
  <c r="F41" i="3"/>
  <c r="D41" i="3"/>
  <c r="G207" i="3"/>
  <c r="H207" i="3" s="1"/>
  <c r="D208" i="3"/>
  <c r="D128" i="3" s="1"/>
  <c r="D207" i="3"/>
  <c r="D127" i="3" s="1"/>
  <c r="D206" i="3"/>
  <c r="D126" i="3" s="1"/>
  <c r="D205" i="3"/>
  <c r="D125" i="3" s="1"/>
  <c r="D204" i="3"/>
  <c r="D203" i="3"/>
  <c r="D202" i="3"/>
  <c r="D259" i="3" s="1"/>
  <c r="D285" i="3" s="1"/>
  <c r="D310" i="3" s="1"/>
  <c r="H188" i="3"/>
  <c r="E201" i="3" s="1"/>
  <c r="D200" i="3" s="1"/>
  <c r="D198" i="3"/>
  <c r="D197" i="3"/>
  <c r="D117" i="3" s="1"/>
  <c r="D95" i="3" s="1"/>
  <c r="D102" i="3" s="1"/>
  <c r="D196" i="3"/>
  <c r="D116" i="3" s="1"/>
  <c r="D94" i="3" s="1"/>
  <c r="D101" i="3" s="1"/>
  <c r="D195" i="3"/>
  <c r="D252" i="3" s="1"/>
  <c r="D278" i="3" s="1"/>
  <c r="D303" i="3" s="1"/>
  <c r="D332" i="3" s="1"/>
  <c r="E79" i="2"/>
  <c r="E78" i="2"/>
  <c r="E77" i="2"/>
  <c r="E76" i="2"/>
  <c r="E75" i="2"/>
  <c r="E74" i="2"/>
  <c r="E73" i="2"/>
  <c r="E72" i="2"/>
  <c r="E71" i="2"/>
  <c r="E70" i="2"/>
  <c r="E69" i="2"/>
  <c r="H35" i="3"/>
  <c r="B35" i="3"/>
  <c r="G33" i="3"/>
  <c r="H28" i="3" s="1"/>
  <c r="E33" i="3"/>
  <c r="D33" i="3"/>
  <c r="B26" i="3"/>
  <c r="H17" i="3"/>
  <c r="H26" i="3" s="1"/>
  <c r="G24" i="3"/>
  <c r="E24" i="3"/>
  <c r="D24" i="3"/>
  <c r="G212" i="3"/>
  <c r="H212" i="3" s="1"/>
  <c r="E212" i="3"/>
  <c r="D212" i="3"/>
  <c r="B17" i="3"/>
  <c r="J19" i="1"/>
  <c r="F66" i="3" s="1"/>
  <c r="D265" i="3"/>
  <c r="D291" i="3" s="1"/>
  <c r="D316" i="3" s="1"/>
  <c r="D262" i="3"/>
  <c r="D288" i="3" s="1"/>
  <c r="D313" i="3" s="1"/>
  <c r="D118" i="3"/>
  <c r="D96" i="3" s="1"/>
  <c r="D103" i="3" s="1"/>
  <c r="D255" i="3"/>
  <c r="D281" i="3" s="1"/>
  <c r="D306" i="3" s="1"/>
  <c r="D335" i="3" s="1"/>
  <c r="D253" i="3"/>
  <c r="D279" i="3" s="1"/>
  <c r="D304" i="3" s="1"/>
  <c r="D333" i="3" s="1"/>
  <c r="H60" i="3"/>
  <c r="H42" i="3"/>
  <c r="J18" i="1"/>
  <c r="J232" i="1"/>
  <c r="F428" i="3"/>
  <c r="F430" i="3" s="1"/>
  <c r="H430" i="3" s="1"/>
  <c r="F595" i="3"/>
  <c r="F609" i="3" s="1"/>
  <c r="J258" i="1"/>
  <c r="H598" i="3" s="1"/>
  <c r="J257" i="1"/>
  <c r="J233" i="1"/>
  <c r="F438" i="3" s="1"/>
  <c r="J231" i="1"/>
  <c r="F418" i="3" s="1"/>
  <c r="H413" i="3" s="1"/>
  <c r="G197" i="3"/>
  <c r="G117" i="3" s="1"/>
  <c r="J229" i="1"/>
  <c r="F397" i="3"/>
  <c r="J230" i="1"/>
  <c r="F408" i="3"/>
  <c r="H403" i="3" s="1"/>
  <c r="J228" i="1"/>
  <c r="J227" i="1"/>
  <c r="F340" i="3"/>
  <c r="H340" i="3" s="1"/>
  <c r="H326" i="3"/>
  <c r="J332" i="3" s="1"/>
  <c r="H585" i="3"/>
  <c r="F594" i="3"/>
  <c r="F590" i="3"/>
  <c r="F603" i="3" s="1"/>
  <c r="J14" i="1"/>
  <c r="J8" i="1"/>
  <c r="H13" i="3"/>
  <c r="F608" i="3"/>
  <c r="H18" i="3"/>
  <c r="H20" i="3" s="1"/>
  <c r="F24" i="3"/>
  <c r="G205" i="3"/>
  <c r="H205" i="3" s="1"/>
  <c r="G208" i="3"/>
  <c r="G206" i="3"/>
  <c r="H206" i="3" s="1"/>
  <c r="G204" i="3"/>
  <c r="H204" i="3" s="1"/>
  <c r="G203" i="3"/>
  <c r="H203" i="3" s="1"/>
  <c r="G202" i="3"/>
  <c r="H202" i="3" s="1"/>
  <c r="F208" i="3"/>
  <c r="G198" i="3"/>
  <c r="G255" i="3" s="1"/>
  <c r="G281" i="3" s="1"/>
  <c r="G306" i="3" s="1"/>
  <c r="G335" i="3" s="1"/>
  <c r="H335" i="3" s="1"/>
  <c r="G196" i="3"/>
  <c r="G253" i="3" s="1"/>
  <c r="G279" i="3" s="1"/>
  <c r="G304" i="3" s="1"/>
  <c r="G333" i="3" s="1"/>
  <c r="H333" i="3" s="1"/>
  <c r="G195" i="3"/>
  <c r="G252" i="3" s="1"/>
  <c r="G278" i="3" s="1"/>
  <c r="G303" i="3" s="1"/>
  <c r="G332" i="3" s="1"/>
  <c r="H332" i="3" s="1"/>
  <c r="B188" i="3"/>
  <c r="B134" i="3"/>
  <c r="H196" i="3"/>
  <c r="H253" i="3" s="1"/>
  <c r="H279" i="3" s="1"/>
  <c r="H304" i="3" s="1"/>
  <c r="G118" i="3"/>
  <c r="G96" i="3" s="1"/>
  <c r="H96" i="3" s="1"/>
  <c r="G115" i="3"/>
  <c r="H115" i="3" s="1"/>
  <c r="B86" i="3"/>
  <c r="F319" i="3"/>
  <c r="H297" i="3"/>
  <c r="I310" i="3" s="1"/>
  <c r="J310" i="3" s="1"/>
  <c r="F229" i="3"/>
  <c r="J263" i="1"/>
  <c r="F642" i="3" s="1"/>
  <c r="H272" i="3"/>
  <c r="J280" i="3" s="1"/>
  <c r="F294" i="3"/>
  <c r="J264" i="1"/>
  <c r="H219" i="3"/>
  <c r="F226" i="3" s="1"/>
  <c r="F227" i="3" s="1"/>
  <c r="F240" i="3" s="1"/>
  <c r="F131" i="3"/>
  <c r="H109" i="3"/>
  <c r="I122" i="3" s="1"/>
  <c r="J122" i="3" s="1"/>
  <c r="H25" i="15" s="1"/>
  <c r="I25" i="15" s="1"/>
  <c r="F146" i="3"/>
  <c r="H135" i="3" s="1"/>
  <c r="I125" i="3"/>
  <c r="F28" i="15" s="1"/>
  <c r="H246" i="3"/>
  <c r="F268" i="3" s="1"/>
  <c r="H268" i="3" s="1"/>
  <c r="I259" i="3"/>
  <c r="J259" i="3" s="1"/>
  <c r="M28" i="15" s="1"/>
  <c r="H189" i="3"/>
  <c r="Q28" i="15" s="1"/>
  <c r="J198" i="3"/>
  <c r="H59" i="3" l="1"/>
  <c r="H166" i="3"/>
  <c r="J197" i="3"/>
  <c r="J252" i="3"/>
  <c r="I262" i="3"/>
  <c r="J262" i="3" s="1"/>
  <c r="K262" i="3" s="1"/>
  <c r="M29" i="15" s="1"/>
  <c r="J303" i="3"/>
  <c r="H118" i="3"/>
  <c r="G116" i="3"/>
  <c r="H594" i="3"/>
  <c r="H608" i="3" s="1"/>
  <c r="H424" i="3"/>
  <c r="G486" i="3"/>
  <c r="G502" i="3" s="1"/>
  <c r="G519" i="3" s="1"/>
  <c r="G535" i="3" s="1"/>
  <c r="A55" i="15"/>
  <c r="H344" i="3"/>
  <c r="H345" i="3" s="1"/>
  <c r="H174" i="3"/>
  <c r="H169" i="3"/>
  <c r="G573" i="3"/>
  <c r="A61" i="15"/>
  <c r="H61" i="3"/>
  <c r="H143" i="3"/>
  <c r="H136" i="3" s="1"/>
  <c r="H82" i="3"/>
  <c r="J115" i="3"/>
  <c r="L123" i="3"/>
  <c r="H229" i="3"/>
  <c r="H195" i="3"/>
  <c r="H252" i="3" s="1"/>
  <c r="H278" i="3" s="1"/>
  <c r="H303" i="3" s="1"/>
  <c r="H198" i="3"/>
  <c r="H255" i="3" s="1"/>
  <c r="H281" i="3" s="1"/>
  <c r="H306" i="3" s="1"/>
  <c r="H208" i="3"/>
  <c r="H428" i="3"/>
  <c r="D264" i="3"/>
  <c r="D290" i="3" s="1"/>
  <c r="D315" i="3" s="1"/>
  <c r="H662" i="3"/>
  <c r="E670" i="3" s="1"/>
  <c r="E23" i="5" s="1"/>
  <c r="H665" i="3"/>
  <c r="H386" i="3"/>
  <c r="H404" i="3"/>
  <c r="H405" i="3" s="1"/>
  <c r="G492" i="3"/>
  <c r="G508" i="3" s="1"/>
  <c r="G524" i="3" s="1"/>
  <c r="G540" i="3" s="1"/>
  <c r="G360" i="3"/>
  <c r="H360" i="3" s="1"/>
  <c r="J118" i="3"/>
  <c r="I126" i="3"/>
  <c r="F27" i="15" s="1"/>
  <c r="J127" i="3"/>
  <c r="F29" i="15" s="1"/>
  <c r="H131" i="3"/>
  <c r="H319" i="3"/>
  <c r="H24" i="3"/>
  <c r="H15" i="3"/>
  <c r="D254" i="3"/>
  <c r="D280" i="3" s="1"/>
  <c r="D305" i="3" s="1"/>
  <c r="D334" i="3" s="1"/>
  <c r="H41" i="3"/>
  <c r="H62" i="3"/>
  <c r="H452" i="3"/>
  <c r="G316" i="3"/>
  <c r="H289" i="3"/>
  <c r="G604" i="3"/>
  <c r="G618" i="3" s="1"/>
  <c r="E603" i="3"/>
  <c r="H381" i="3"/>
  <c r="H383" i="3" s="1"/>
  <c r="G521" i="3"/>
  <c r="H316" i="3"/>
  <c r="G485" i="3"/>
  <c r="G501" i="3" s="1"/>
  <c r="G518" i="3" s="1"/>
  <c r="G534" i="3" s="1"/>
  <c r="G487" i="3"/>
  <c r="G503" i="3" s="1"/>
  <c r="G520" i="3" s="1"/>
  <c r="G536" i="3" s="1"/>
  <c r="H347" i="3"/>
  <c r="H351" i="3"/>
  <c r="G95" i="3"/>
  <c r="H95" i="3" s="1"/>
  <c r="H117" i="3"/>
  <c r="H438" i="3"/>
  <c r="H433" i="3"/>
  <c r="H435" i="3" s="1"/>
  <c r="J274" i="3"/>
  <c r="N28" i="15" s="1"/>
  <c r="J278" i="3"/>
  <c r="H146" i="3"/>
  <c r="I202" i="3"/>
  <c r="I206" i="3"/>
  <c r="Q27" i="15" s="1"/>
  <c r="J195" i="3"/>
  <c r="J196" i="3"/>
  <c r="I285" i="3"/>
  <c r="J285" i="3" s="1"/>
  <c r="J335" i="3"/>
  <c r="J333" i="3"/>
  <c r="F441" i="3"/>
  <c r="H441" i="3" s="1"/>
  <c r="H490" i="3"/>
  <c r="H479" i="3" s="1"/>
  <c r="H480" i="3" s="1"/>
  <c r="H155" i="3"/>
  <c r="H137" i="3"/>
  <c r="H294" i="3"/>
  <c r="H408" i="3"/>
  <c r="H595" i="3"/>
  <c r="H609" i="3" s="1"/>
  <c r="H415" i="3"/>
  <c r="H66" i="3"/>
  <c r="H45" i="3"/>
  <c r="H49" i="3" s="1"/>
  <c r="H37" i="3" s="1"/>
  <c r="H38" i="3" s="1"/>
  <c r="H43" i="3"/>
  <c r="H63" i="3"/>
  <c r="H65" i="3" s="1"/>
  <c r="H55" i="3" s="1"/>
  <c r="H64" i="3"/>
  <c r="H313" i="3"/>
  <c r="H129" i="3"/>
  <c r="H110" i="3" s="1"/>
  <c r="H111" i="3" s="1"/>
  <c r="G484" i="3"/>
  <c r="G500" i="3" s="1"/>
  <c r="H161" i="3"/>
  <c r="G570" i="3"/>
  <c r="G571" i="3"/>
  <c r="H559" i="3"/>
  <c r="H549" i="3" s="1"/>
  <c r="J281" i="3"/>
  <c r="K281" i="3"/>
  <c r="O24" i="15" s="1"/>
  <c r="P24" i="15" s="1"/>
  <c r="H637" i="3"/>
  <c r="H639" i="3" s="1"/>
  <c r="F644" i="3"/>
  <c r="H644" i="3" s="1"/>
  <c r="F400" i="3"/>
  <c r="H400" i="3" s="1"/>
  <c r="H392" i="3"/>
  <c r="H397" i="3"/>
  <c r="G254" i="3"/>
  <c r="G280" i="3" s="1"/>
  <c r="G305" i="3" s="1"/>
  <c r="G334" i="3" s="1"/>
  <c r="H334" i="3" s="1"/>
  <c r="H336" i="3" s="1"/>
  <c r="G337" i="3" s="1"/>
  <c r="H197" i="3"/>
  <c r="H254" i="3" s="1"/>
  <c r="H280" i="3" s="1"/>
  <c r="H305" i="3" s="1"/>
  <c r="K264" i="1"/>
  <c r="E642" i="3"/>
  <c r="K306" i="3"/>
  <c r="J306" i="3"/>
  <c r="G237" i="3"/>
  <c r="H224" i="3"/>
  <c r="E621" i="3"/>
  <c r="E618" i="3"/>
  <c r="G260" i="3"/>
  <c r="G286" i="3"/>
  <c r="G311" i="3"/>
  <c r="G312" i="3"/>
  <c r="H312" i="3" s="1"/>
  <c r="H287" i="3"/>
  <c r="D487" i="3"/>
  <c r="D503" i="3" s="1"/>
  <c r="D520" i="3" s="1"/>
  <c r="D536" i="3" s="1"/>
  <c r="A57" i="15"/>
  <c r="H372" i="3"/>
  <c r="H373" i="3" s="1"/>
  <c r="H376" i="3"/>
  <c r="H628" i="3"/>
  <c r="E182" i="3"/>
  <c r="E7" i="5" s="1"/>
  <c r="J8" i="8"/>
  <c r="K8" i="8" s="1"/>
  <c r="B46" i="9"/>
  <c r="F239" i="3"/>
  <c r="H642" i="3"/>
  <c r="J253" i="3"/>
  <c r="F631" i="3"/>
  <c r="I123" i="3"/>
  <c r="J116" i="3"/>
  <c r="J117" i="3"/>
  <c r="J305" i="3"/>
  <c r="G93" i="3"/>
  <c r="H93" i="3" s="1"/>
  <c r="H590" i="3"/>
  <c r="H603" i="3" s="1"/>
  <c r="H27" i="3"/>
  <c r="H29" i="3" s="1"/>
  <c r="F33" i="3"/>
  <c r="H33" i="3" s="1"/>
  <c r="H423" i="3"/>
  <c r="H425" i="3" s="1"/>
  <c r="H54" i="3"/>
  <c r="D263" i="3"/>
  <c r="D289" i="3" s="1"/>
  <c r="D314" i="3" s="1"/>
  <c r="H449" i="3"/>
  <c r="E458" i="3" s="1"/>
  <c r="E15" i="5" s="1"/>
  <c r="E631" i="3"/>
  <c r="K305" i="3"/>
  <c r="M305" i="3" s="1"/>
  <c r="N23" i="15" s="1"/>
  <c r="L303" i="3"/>
  <c r="N303" i="3" s="1"/>
  <c r="O21" i="15" s="1"/>
  <c r="L306" i="3"/>
  <c r="J238" i="3"/>
  <c r="K26" i="15" s="1"/>
  <c r="L26" i="15" s="1"/>
  <c r="K237" i="3"/>
  <c r="L253" i="3"/>
  <c r="N253" i="3" s="1"/>
  <c r="L22" i="15" s="1"/>
  <c r="D15" i="9"/>
  <c r="B18" i="9" s="1"/>
  <c r="D18" i="9" s="1"/>
  <c r="D20" i="9" s="1"/>
  <c r="K254" i="3"/>
  <c r="M254" i="3" s="1"/>
  <c r="K23" i="15" s="1"/>
  <c r="J254" i="3"/>
  <c r="I255" i="3"/>
  <c r="F304" i="3"/>
  <c r="I304" i="3" s="1"/>
  <c r="I279" i="3"/>
  <c r="D621" i="3"/>
  <c r="H285" i="3"/>
  <c r="G310" i="3"/>
  <c r="H310" i="3" s="1"/>
  <c r="H314" i="3"/>
  <c r="H290" i="3"/>
  <c r="G315" i="3"/>
  <c r="H315" i="3" s="1"/>
  <c r="I334" i="3"/>
  <c r="H472" i="3"/>
  <c r="H463" i="3" s="1"/>
  <c r="H464" i="3" s="1"/>
  <c r="H393" i="3"/>
  <c r="H604" i="3"/>
  <c r="H618" i="3" s="1"/>
  <c r="H613" i="3" s="1"/>
  <c r="H614" i="3" s="1"/>
  <c r="H586" i="3"/>
  <c r="H587" i="3" s="1"/>
  <c r="H592" i="3"/>
  <c r="H605" i="3" s="1"/>
  <c r="G605" i="3"/>
  <c r="H355" i="3"/>
  <c r="H356" i="3" s="1"/>
  <c r="E351" i="3"/>
  <c r="E362" i="3" s="1"/>
  <c r="E359" i="3"/>
  <c r="H353" i="3" s="1"/>
  <c r="E348" i="3"/>
  <c r="E360" i="3" s="1"/>
  <c r="A62" i="15"/>
  <c r="D570" i="3"/>
  <c r="K115" i="3"/>
  <c r="M115" i="3" s="1"/>
  <c r="H21" i="15" s="1"/>
  <c r="L115" i="3"/>
  <c r="N115" i="3" s="1"/>
  <c r="I21" i="15" s="1"/>
  <c r="J139" i="1"/>
  <c r="D13" i="9"/>
  <c r="C46" i="9"/>
  <c r="C58" i="9" s="1"/>
  <c r="C19" i="9"/>
  <c r="F2" i="11"/>
  <c r="G2" i="11" s="1"/>
  <c r="J8" i="11"/>
  <c r="K8" i="11" s="1"/>
  <c r="J22" i="1"/>
  <c r="J39" i="1"/>
  <c r="H87" i="3" s="1"/>
  <c r="K118" i="3"/>
  <c r="G94" i="3" l="1"/>
  <c r="H94" i="3" s="1"/>
  <c r="H97" i="3" s="1"/>
  <c r="H116" i="3"/>
  <c r="H119" i="3"/>
  <c r="H599" i="3"/>
  <c r="H600" i="3" s="1"/>
  <c r="H394" i="3"/>
  <c r="E443" i="3" s="1"/>
  <c r="E13" i="5" s="1"/>
  <c r="H199" i="3"/>
  <c r="G201" i="3" s="1"/>
  <c r="H201" i="3" s="1"/>
  <c r="H209" i="3" s="1"/>
  <c r="H190" i="3" s="1"/>
  <c r="H191" i="3" s="1"/>
  <c r="E215" i="3" s="1"/>
  <c r="E5" i="5" s="1"/>
  <c r="H521" i="3"/>
  <c r="G537" i="3"/>
  <c r="H537" i="3" s="1"/>
  <c r="H56" i="3"/>
  <c r="E70" i="3" s="1"/>
  <c r="E1" i="5" s="1"/>
  <c r="H500" i="3"/>
  <c r="H505" i="3" s="1"/>
  <c r="H496" i="3" s="1"/>
  <c r="H497" i="3" s="1"/>
  <c r="G517" i="3"/>
  <c r="H327" i="3"/>
  <c r="H328" i="3" s="1"/>
  <c r="E366" i="3" s="1"/>
  <c r="E11" i="5" s="1"/>
  <c r="H337" i="3"/>
  <c r="N118" i="3"/>
  <c r="H24" i="15" s="1"/>
  <c r="M118" i="3"/>
  <c r="F84" i="3"/>
  <c r="H84" i="3" s="1"/>
  <c r="H74" i="3"/>
  <c r="H76" i="3" s="1"/>
  <c r="K142" i="1"/>
  <c r="H232" i="3"/>
  <c r="F242" i="3"/>
  <c r="H242" i="3" s="1"/>
  <c r="K304" i="3"/>
  <c r="M304" i="3" s="1"/>
  <c r="N22" i="15" s="1"/>
  <c r="J304" i="3"/>
  <c r="L304" i="3"/>
  <c r="N304" i="3" s="1"/>
  <c r="O22" i="15" s="1"/>
  <c r="H627" i="3"/>
  <c r="H629" i="3" s="1"/>
  <c r="E646" i="3" s="1"/>
  <c r="E19" i="5" s="1"/>
  <c r="H631" i="3"/>
  <c r="F633" i="3"/>
  <c r="H633" i="3" s="1"/>
  <c r="E623" i="3"/>
  <c r="E17" i="5" s="1"/>
  <c r="H237" i="3"/>
  <c r="H636" i="3"/>
  <c r="E644" i="3"/>
  <c r="H256" i="3"/>
  <c r="J95" i="3"/>
  <c r="J93" i="3"/>
  <c r="J96" i="3"/>
  <c r="F106" i="3"/>
  <c r="H106" i="3" s="1"/>
  <c r="J94" i="3"/>
  <c r="F99" i="3"/>
  <c r="N8" i="11"/>
  <c r="O8" i="11" s="1"/>
  <c r="N2" i="11"/>
  <c r="O2" i="11" s="1"/>
  <c r="J334" i="3"/>
  <c r="K334" i="3"/>
  <c r="L334" i="3" s="1"/>
  <c r="P23" i="15" s="1"/>
  <c r="K279" i="3"/>
  <c r="L279" i="3" s="1"/>
  <c r="M22" i="15" s="1"/>
  <c r="J279" i="3"/>
  <c r="J255" i="3"/>
  <c r="K255" i="3"/>
  <c r="M24" i="15" s="1"/>
  <c r="L255" i="3"/>
  <c r="N24" i="15" s="1"/>
  <c r="H626" i="3"/>
  <c r="E633" i="3"/>
  <c r="D46" i="9"/>
  <c r="N8" i="8"/>
  <c r="O8" i="8" s="1"/>
  <c r="H307" i="3"/>
  <c r="G309" i="3" s="1"/>
  <c r="H309" i="3" s="1"/>
  <c r="H317" i="3" s="1"/>
  <c r="H298" i="3" s="1"/>
  <c r="H299" i="3" s="1"/>
  <c r="G99" i="3" l="1"/>
  <c r="G226" i="3"/>
  <c r="G227" i="3"/>
  <c r="H517" i="3"/>
  <c r="H522" i="3" s="1"/>
  <c r="H513" i="3" s="1"/>
  <c r="H514" i="3" s="1"/>
  <c r="G533" i="3"/>
  <c r="H533" i="3" s="1"/>
  <c r="H538" i="3" s="1"/>
  <c r="H529" i="3" s="1"/>
  <c r="H530" i="3" s="1"/>
  <c r="B47" i="9"/>
  <c r="R8" i="11"/>
  <c r="S8" i="11" s="1"/>
  <c r="R13" i="11"/>
  <c r="S13" i="11" s="1"/>
  <c r="R2" i="11"/>
  <c r="S2" i="11" s="1"/>
  <c r="G258" i="3"/>
  <c r="H258" i="3" s="1"/>
  <c r="H266" i="3" s="1"/>
  <c r="H247" i="3" s="1"/>
  <c r="H248" i="3" s="1"/>
  <c r="H282" i="3"/>
  <c r="G284" i="3" s="1"/>
  <c r="H284" i="3" s="1"/>
  <c r="H292" i="3" s="1"/>
  <c r="H273" i="3" s="1"/>
  <c r="H274" i="3" s="1"/>
  <c r="G239" i="3"/>
  <c r="H226" i="3"/>
  <c r="H239" i="3" s="1"/>
  <c r="H88" i="3"/>
  <c r="H89" i="3" s="1"/>
  <c r="E149" i="3" s="1"/>
  <c r="E3" i="5" s="1"/>
  <c r="H99" i="3"/>
  <c r="R8" i="8"/>
  <c r="S8" i="8" s="1"/>
  <c r="V8" i="8" s="1"/>
  <c r="W8" i="8" s="1"/>
  <c r="H220" i="3"/>
  <c r="H221" i="3" s="1"/>
  <c r="G240" i="3"/>
  <c r="H233" i="3" s="1"/>
  <c r="H234" i="3" s="1"/>
  <c r="H227" i="3"/>
  <c r="H240" i="3" s="1"/>
  <c r="J235" i="3"/>
  <c r="E543" i="3" l="1"/>
  <c r="E322" i="3"/>
  <c r="E9" i="5" s="1"/>
  <c r="E25" i="5" s="1"/>
  <c r="E26" i="5" s="1"/>
  <c r="E27" i="5" s="1"/>
  <c r="Z8" i="8"/>
  <c r="AA8" i="8" s="1"/>
  <c r="V2" i="11"/>
  <c r="W2" i="11" s="1"/>
  <c r="V8" i="11"/>
  <c r="W8" i="11" s="1"/>
  <c r="D47" i="9"/>
  <c r="B48" i="9" l="1"/>
  <c r="Z2" i="11"/>
  <c r="AA2" i="11" s="1"/>
  <c r="Z13" i="11"/>
  <c r="AA13" i="11" s="1"/>
  <c r="Z8" i="11"/>
  <c r="AA8" i="11" s="1"/>
  <c r="AD8" i="8"/>
  <c r="AE8" i="8" s="1"/>
  <c r="AH8" i="8" s="1"/>
  <c r="AI8" i="8" s="1"/>
  <c r="AL8" i="8" s="1"/>
  <c r="AM8" i="8" s="1"/>
  <c r="AP8" i="8" l="1"/>
  <c r="AQ8" i="8" s="1"/>
  <c r="AT8" i="8" s="1"/>
  <c r="AU8" i="8" s="1"/>
  <c r="AD8" i="11"/>
  <c r="AE8" i="11" s="1"/>
  <c r="D48" i="9"/>
  <c r="AH8" i="11" l="1"/>
  <c r="AI8" i="11" s="1"/>
  <c r="AI9" i="11" s="1"/>
  <c r="AH9" i="11" s="1"/>
  <c r="AE9" i="11" s="1"/>
  <c r="AD9" i="11" s="1"/>
  <c r="B49" i="9"/>
  <c r="AX8" i="8"/>
  <c r="AY8" i="8" s="1"/>
  <c r="BB8" i="8" s="1"/>
  <c r="BC8" i="8" s="1"/>
  <c r="BF8" i="8" s="1"/>
  <c r="BG8" i="8" s="1"/>
  <c r="BJ8" i="8" l="1"/>
  <c r="BK8" i="8" s="1"/>
  <c r="BK9" i="8" s="1"/>
  <c r="BJ9" i="8" s="1"/>
  <c r="BG9" i="8" s="1"/>
  <c r="BF9" i="8" s="1"/>
  <c r="BC9" i="8" s="1"/>
  <c r="AA9" i="11"/>
  <c r="AA14" i="11"/>
  <c r="AA3" i="11"/>
  <c r="D49" i="9"/>
  <c r="AF8" i="11"/>
  <c r="B50" i="9" l="1"/>
  <c r="Z14" i="11"/>
  <c r="AB14" i="11"/>
  <c r="BB9" i="8"/>
  <c r="AY9" i="8" s="1"/>
  <c r="BB11" i="8"/>
  <c r="AB3" i="11"/>
  <c r="Z3" i="11"/>
  <c r="W3" i="11" s="1"/>
  <c r="Z9" i="11"/>
  <c r="W9" i="11" s="1"/>
  <c r="AB8" i="11"/>
  <c r="BF11" i="8"/>
  <c r="X3" i="11" l="1"/>
  <c r="V3" i="11"/>
  <c r="V9" i="11"/>
  <c r="X8" i="11"/>
  <c r="AX9" i="8"/>
  <c r="AU9" i="8" s="1"/>
  <c r="AX11" i="8"/>
  <c r="D50" i="9"/>
  <c r="B51" i="9" l="1"/>
  <c r="AT9" i="8"/>
  <c r="AQ9" i="8" s="1"/>
  <c r="AT11" i="8"/>
  <c r="S14" i="11"/>
  <c r="S9" i="11"/>
  <c r="S3" i="11"/>
  <c r="R9" i="11" l="1"/>
  <c r="T8" i="11"/>
  <c r="T3" i="11"/>
  <c r="R3" i="11"/>
  <c r="T14" i="11"/>
  <c r="R14" i="11"/>
  <c r="AP9" i="8"/>
  <c r="AM9" i="8" s="1"/>
  <c r="AP11" i="8"/>
  <c r="D51" i="9"/>
  <c r="B52" i="9" l="1"/>
  <c r="AL9" i="8"/>
  <c r="AI9" i="8" s="1"/>
  <c r="AL11" i="8"/>
  <c r="O3" i="11"/>
  <c r="O9" i="11"/>
  <c r="N9" i="11" l="1"/>
  <c r="K9" i="11" s="1"/>
  <c r="P8" i="11"/>
  <c r="P3" i="11"/>
  <c r="N3" i="11"/>
  <c r="AH11" i="8"/>
  <c r="AH9" i="8"/>
  <c r="AE9" i="8" s="1"/>
  <c r="D52" i="9"/>
  <c r="AD9" i="8" l="1"/>
  <c r="AA9" i="8" s="1"/>
  <c r="AD11" i="8"/>
  <c r="B53" i="9"/>
  <c r="J9" i="11"/>
  <c r="L8" i="11"/>
  <c r="G9" i="11" l="1"/>
  <c r="G3" i="11"/>
  <c r="D53" i="9"/>
  <c r="Z9" i="8"/>
  <c r="W9" i="8" s="1"/>
  <c r="Z11" i="8"/>
  <c r="F3" i="11" l="1"/>
  <c r="H3" i="11"/>
  <c r="V9" i="8"/>
  <c r="S9" i="8" s="1"/>
  <c r="V11" i="8"/>
  <c r="B54" i="9"/>
  <c r="F9" i="11"/>
  <c r="C9" i="11" s="1"/>
  <c r="H8" i="11"/>
  <c r="B9" i="11" l="1"/>
  <c r="D8" i="11"/>
  <c r="D54" i="9"/>
  <c r="R11" i="8"/>
  <c r="R9" i="8"/>
  <c r="O9" i="8" s="1"/>
  <c r="N9" i="8" l="1"/>
  <c r="K9" i="8" s="1"/>
  <c r="N11" i="8"/>
  <c r="B55" i="9"/>
  <c r="D55" i="9" l="1"/>
  <c r="J9" i="8"/>
  <c r="G9" i="8" s="1"/>
  <c r="J11" i="8"/>
  <c r="F9" i="8" l="1"/>
  <c r="C9" i="8" s="1"/>
  <c r="F11" i="8"/>
  <c r="B56" i="9"/>
  <c r="D56" i="9" l="1"/>
  <c r="D8" i="8"/>
  <c r="B9" i="8"/>
  <c r="B57" i="9" l="1"/>
  <c r="D57" i="9" l="1"/>
  <c r="D59" i="9" s="1"/>
  <c r="B59" i="9"/>
</calcChain>
</file>

<file path=xl/sharedStrings.xml><?xml version="1.0" encoding="utf-8"?>
<sst xmlns="http://schemas.openxmlformats.org/spreadsheetml/2006/main" count="1972" uniqueCount="547">
  <si>
    <t>GENERADORES DE OBRA</t>
  </si>
  <si>
    <t>Codigo</t>
  </si>
  <si>
    <t>Concepto</t>
  </si>
  <si>
    <t>Eje</t>
  </si>
  <si>
    <t>Tramo</t>
  </si>
  <si>
    <t>Largo</t>
  </si>
  <si>
    <t>Ancho</t>
  </si>
  <si>
    <t xml:space="preserve">Alto </t>
  </si>
  <si>
    <t>Piezas</t>
  </si>
  <si>
    <t>Suma</t>
  </si>
  <si>
    <t>Observaciones</t>
  </si>
  <si>
    <t>Unidad</t>
  </si>
  <si>
    <t>Total</t>
  </si>
  <si>
    <t>Preliminares</t>
  </si>
  <si>
    <t>Limpieza: Limpieza y desempalme del terreno incluye mano de obra herramienta, limpieza de basura y acarreo.</t>
  </si>
  <si>
    <t>M²</t>
  </si>
  <si>
    <t>A</t>
  </si>
  <si>
    <t>B</t>
  </si>
  <si>
    <t>C</t>
  </si>
  <si>
    <t>D</t>
  </si>
  <si>
    <t>Cimentacion</t>
  </si>
  <si>
    <t>ML</t>
  </si>
  <si>
    <t>Relleno de cepa: Utilizando el mismo material de excavacion, incluye ,mano de onbra y herramienta</t>
  </si>
  <si>
    <t>M³</t>
  </si>
  <si>
    <t>Estructura</t>
  </si>
  <si>
    <t>A1</t>
  </si>
  <si>
    <t>D-E</t>
  </si>
  <si>
    <t>Plantilla de cimentacion: Suministro y fabricacion de concreto con un F'c 100kg/cm² de 5cm de espesor incluye mano de obra, herramientas y materiales para su correcta elaboracion.</t>
  </si>
  <si>
    <t>B-E</t>
  </si>
  <si>
    <t>E</t>
  </si>
  <si>
    <t>Drenajes</t>
  </si>
  <si>
    <t>Muros, Dalas y Castillos</t>
  </si>
  <si>
    <t>Pisos</t>
  </si>
  <si>
    <t>Registro de sanitario: Con medida de 40x60 de Tabique 10 x 14 x 28 asentado con mortero  arena  con junta de 1.5cm  incluye mano de obra y todo para su correcta elaboracion</t>
  </si>
  <si>
    <t>Pza</t>
  </si>
  <si>
    <t>Casa Habitación</t>
  </si>
  <si>
    <t xml:space="preserve">PRODUCTO </t>
  </si>
  <si>
    <t>TONELADA</t>
  </si>
  <si>
    <t>PRECIO</t>
  </si>
  <si>
    <t>UNIDAD</t>
  </si>
  <si>
    <t>CEMENTO CRUZ AZUL</t>
  </si>
  <si>
    <t xml:space="preserve">20 BULTOS </t>
  </si>
  <si>
    <t>BULTO</t>
  </si>
  <si>
    <t>CEMENTO TOLTECA</t>
  </si>
  <si>
    <t>CEMENTO HOLCIM</t>
  </si>
  <si>
    <t>CEMENTO FORTALEZA</t>
  </si>
  <si>
    <t>VARILLA 3/8</t>
  </si>
  <si>
    <t>150 PIEZAS</t>
  </si>
  <si>
    <t>PIEZA</t>
  </si>
  <si>
    <t>VARILLA 1/2</t>
  </si>
  <si>
    <t>84 PIEZAS</t>
  </si>
  <si>
    <t>CALIDRA</t>
  </si>
  <si>
    <t>40 BULTOS</t>
  </si>
  <si>
    <t>MORTERO CRUZ AZUL</t>
  </si>
  <si>
    <t>MORTERO HOLCIM</t>
  </si>
  <si>
    <t>MORTERO FORTALEZA</t>
  </si>
  <si>
    <t>PEGAZULEJO NIASA</t>
  </si>
  <si>
    <t>50 BULTOS</t>
  </si>
  <si>
    <t>PEGAZULEJO PEGAGRES</t>
  </si>
  <si>
    <t>PEGAZULEJO TAURO</t>
  </si>
  <si>
    <t>ALAMBRE RECOCIDO</t>
  </si>
  <si>
    <t>KILO</t>
  </si>
  <si>
    <t>ALAMBRON</t>
  </si>
  <si>
    <t>CLAVO 2"</t>
  </si>
  <si>
    <t>CAJA</t>
  </si>
  <si>
    <t>CLAVO 2 1/2</t>
  </si>
  <si>
    <t>CLAVO CONCRETP</t>
  </si>
  <si>
    <t>1 M3</t>
  </si>
  <si>
    <t>3 M3</t>
  </si>
  <si>
    <t>6 M3</t>
  </si>
  <si>
    <t>M3</t>
  </si>
  <si>
    <t>GRAVA</t>
  </si>
  <si>
    <t>MALLA ELECTRO SOLDADA 6.6/10.10</t>
  </si>
  <si>
    <t>ROLLO</t>
  </si>
  <si>
    <t>METRO2</t>
  </si>
  <si>
    <t>Cantidad</t>
  </si>
  <si>
    <t>Precio Unitario</t>
  </si>
  <si>
    <t>Mano de Obra</t>
  </si>
  <si>
    <t>Materiales</t>
  </si>
  <si>
    <t>Descripcion</t>
  </si>
  <si>
    <t>Bto</t>
  </si>
  <si>
    <t>Bote(19lt)</t>
  </si>
  <si>
    <r>
      <t>Cemento F'c 250kg/cm</t>
    </r>
    <r>
      <rPr>
        <vertAlign val="superscript"/>
        <sz val="11"/>
        <color theme="1"/>
        <rFont val="Calibri"/>
        <family val="2"/>
        <scheme val="minor"/>
      </rPr>
      <t xml:space="preserve">2 </t>
    </r>
    <r>
      <rPr>
        <sz val="11"/>
        <color theme="1"/>
        <rFont val="Calibri"/>
        <family val="2"/>
        <scheme val="minor"/>
      </rPr>
      <t>Cruz Azul</t>
    </r>
  </si>
  <si>
    <t>BOTE</t>
  </si>
  <si>
    <t>AGUA</t>
  </si>
  <si>
    <t>LITRO</t>
  </si>
  <si>
    <t>Lt</t>
  </si>
  <si>
    <t>Kg</t>
  </si>
  <si>
    <t>PZA</t>
  </si>
  <si>
    <t>Albañil</t>
  </si>
  <si>
    <t>Excavacion para colocacion de tubo de P.v.c de 4'' con medidas de .30x.50  incluye mano de obra, herramienta para su correcta elaboracion.</t>
  </si>
  <si>
    <t xml:space="preserve">Tendido de Tubo de P.v.c de 4'' incluye mano de obra, herramienta y material para su correcta instalacion </t>
  </si>
  <si>
    <t>Menos vanos, puertas y ventanas 17.26M²</t>
  </si>
  <si>
    <t>Area 1</t>
  </si>
  <si>
    <t>TARIMA .5X1.00</t>
  </si>
  <si>
    <t>Colocaciones</t>
  </si>
  <si>
    <t>Colocacion de Loseta lamosa .44X.44 Café LINIA1QS, incluye mano de obra, herramienta, material y todo para su correcta colocacion</t>
  </si>
  <si>
    <t>Colocacion de Loseta lamosa .44X.44 Beige LCERA1O7, incluye mano de obra, herramienta, material y todo para su correcta colocacion</t>
  </si>
  <si>
    <t xml:space="preserve">Instalacion de w.c. Marca Castel modelo ZEUS color hueso, incluye mano de obra, accesorios y herramienta para su correcta instalacion </t>
  </si>
  <si>
    <t>COTIZACION  MATERIALES PARA CONSTRUCCION</t>
  </si>
  <si>
    <t xml:space="preserve">COTIZACION  DE MOBILIARIO </t>
  </si>
  <si>
    <t>W.C. MARCA CASTEL MODELO ZEUZ COLOR HUESO</t>
  </si>
  <si>
    <t>PRODUCTO</t>
  </si>
  <si>
    <t>OBSERVACIONES</t>
  </si>
  <si>
    <t>COTIZADO EN HOME DEPOT</t>
  </si>
  <si>
    <t>LAVABO AMERICAN STÁNDAR MODELO HABITATCOLOR HUESO INCLUYE LLAVES Y PEDESTAL</t>
  </si>
  <si>
    <t>COCINA INTEGRAL MARCA READY KITCHEN PAQUETE DE COCINA BLANCA MODELO PK240P7-WH.  </t>
  </si>
  <si>
    <t>Instalacion y entrega de cocina integral marca Ready kitchen modelo PK240P7-WH. Incluye mano de obra y herramienta para su correcta instalacion</t>
  </si>
  <si>
    <t xml:space="preserve">suministro e instalacion de tinaco rotoplas de 1100lt incluye accesorios, mano de obra y herramienta para su correcta instalacion </t>
  </si>
  <si>
    <t>TINACO ROTOPLAS DE 1100LT INCLUYE ACCESORIOS</t>
  </si>
  <si>
    <t>CALENTADOR DE PASO CALOREX DE 6LT</t>
  </si>
  <si>
    <t>Azotea</t>
  </si>
  <si>
    <t>Insalaciones Hidrosanitaria</t>
  </si>
  <si>
    <t>Insalaciones Electricas</t>
  </si>
  <si>
    <t>Carpinteria y Cerrajeria</t>
  </si>
  <si>
    <t>Con marco las medidas de la puerta es de .80x2.10</t>
  </si>
  <si>
    <t>Con marco las medidas de la puerta es de .90x2.10</t>
  </si>
  <si>
    <t>PUERTA MARCA PUERTAS INFINITY MODELO MADRID CEREZO .90X2.10 Y .80X2.10</t>
  </si>
  <si>
    <t>VENTANA DE PERFIL COLOR HUMO, CON VIDRIO DE 3MM DE .90X1.20</t>
  </si>
  <si>
    <t>VENTANA DE PERFIL COLOR HUMO, CON VIDRIO DE 3MM DE .90X.60</t>
  </si>
  <si>
    <t>MANIJA GOLDEN NÍQUEL SATÍN MARCA DEFIANT</t>
  </si>
  <si>
    <t>Pintura</t>
  </si>
  <si>
    <t>Jardineria</t>
  </si>
  <si>
    <t>Limpieza Final</t>
  </si>
  <si>
    <t xml:space="preserve">Limpieza Final: Limpieza para entrega de la obra a base de agua, detergente y jabon esto incluye mano de obra y materiales como escobas, trapadadores,jergas, fibras.                                                   Incluyen limpieza en pisos, puertas, ventanas, muebles de baño y de servicio y todo los elementos que se encuentren dentro de la planta    </t>
  </si>
  <si>
    <t xml:space="preserve">Instalacion de calentador de paso Calorex de 6lt incluye mano de obra, materiales y herramienta para su correcta instalacion </t>
  </si>
  <si>
    <t>Instalacion de mufa incluye mano de obra, materiales y herramienta para su correcta instalacion</t>
  </si>
  <si>
    <t>Jgo</t>
  </si>
  <si>
    <t>Intalacion de toma de agua incluye mano de obra, material y herramienta para su correcta elaboracion.</t>
  </si>
  <si>
    <t>Material</t>
  </si>
  <si>
    <t>Precio</t>
  </si>
  <si>
    <r>
      <t>M</t>
    </r>
    <r>
      <rPr>
        <vertAlign val="superscript"/>
        <sz val="11"/>
        <color theme="1"/>
        <rFont val="Calibri"/>
        <family val="2"/>
        <scheme val="minor"/>
      </rPr>
      <t>2</t>
    </r>
  </si>
  <si>
    <t>Mano de obra</t>
  </si>
  <si>
    <t>Trazo y nivelacion incluye mano de obra y herramienta</t>
  </si>
  <si>
    <t>Limpieza del terreno  incluye mano de obra y herramienta</t>
  </si>
  <si>
    <t>Instalacion de toma de agua  incluye mano de obra y herramienta</t>
  </si>
  <si>
    <t>Excavacion a mano en cepa, incluye afine de taludes y fondo, en material seco, tipo II con pronfundidad de 0.00 a 2.00m  incluye mano de obra y herramienta</t>
  </si>
  <si>
    <t>Plantilla de concreto hecho en obra resistencia f'c 100kg/cm²de 5cm de espesor  incluye mano de obra y herramienta</t>
  </si>
  <si>
    <t>Relleno compactado con pison de mano en cepas de .20 cm utilizando producto de la obra</t>
  </si>
  <si>
    <t>Ml</t>
  </si>
  <si>
    <t>Elaboracion de losa de concreto armado con espesor de 10 cms, mano de obra incluye herramienta, cimbra y decimbra</t>
  </si>
  <si>
    <t>Trazo y nivelacion del terreno: Estableciendo ejes y referencias,nivel incluye herramienta, mano de obra,equipo y retiro</t>
  </si>
  <si>
    <t>BAJADA LUZ</t>
  </si>
  <si>
    <t>CANTIDAD</t>
  </si>
  <si>
    <t>PRECIO UNI</t>
  </si>
  <si>
    <t>TOTAL</t>
  </si>
  <si>
    <t>CABLE # 8</t>
  </si>
  <si>
    <t xml:space="preserve">BASE MEDIDOR </t>
  </si>
  <si>
    <t>TUBO P/MUFA</t>
  </si>
  <si>
    <t>MUFA 1 1/4</t>
  </si>
  <si>
    <t>VARILLA P/ TIERRA 1 METRO X 1/2</t>
  </si>
  <si>
    <t>VARILLA P/ TIERRA 1.5 X 1/2</t>
  </si>
  <si>
    <t>CONECTOR P/VARILLA</t>
  </si>
  <si>
    <t>CENTRO DE CARGA  SQD 2 PASTILLAS</t>
  </si>
  <si>
    <t>CENTRO DE CARGA ISA 2 PASTILLAS</t>
  </si>
  <si>
    <t xml:space="preserve">INTERRUPTOR ISA </t>
  </si>
  <si>
    <t>INTERRUPTOR BOYER</t>
  </si>
  <si>
    <t>TOMA AGUA</t>
  </si>
  <si>
    <t>VALVULA CUADRO</t>
  </si>
  <si>
    <t>VALVULA INSERCION</t>
  </si>
  <si>
    <t>VALVULA BANQUETA</t>
  </si>
  <si>
    <t>TORRE BANQUETA</t>
  </si>
  <si>
    <t>ABRAZADERA TOMA AGUA 2"</t>
  </si>
  <si>
    <t>ABRAZADERA TOMA AGUA 2 1/2</t>
  </si>
  <si>
    <t>ABRAZADERA TOMA AGUA 3"</t>
  </si>
  <si>
    <t>TUBO COBRE FLEXIBLE 5/8</t>
  </si>
  <si>
    <t>TUBO COBRE RIGIDO 1/2 T/M</t>
  </si>
  <si>
    <t>TUBO COBRE RIGIDO 1/2 T/N</t>
  </si>
  <si>
    <t>COTIZACION  DE BAJADA DE LUZ Y TOMA DE AGUA</t>
  </si>
  <si>
    <t>Cemento F'c 250kg/cm2</t>
  </si>
  <si>
    <t>POLIN 4X4 2.5</t>
  </si>
  <si>
    <t>DIESEL</t>
  </si>
  <si>
    <t>LT</t>
  </si>
  <si>
    <t>MT</t>
  </si>
  <si>
    <t>PZA OPC</t>
  </si>
  <si>
    <t>MT OPC</t>
  </si>
  <si>
    <t>SUMA</t>
  </si>
  <si>
    <t>Electricista</t>
  </si>
  <si>
    <t>Instalacion de mufa incluye mano de obra y herramienta</t>
  </si>
  <si>
    <t xml:space="preserve">MT </t>
  </si>
  <si>
    <t>Plomero</t>
  </si>
  <si>
    <t>Total de costo en Preliminares</t>
  </si>
  <si>
    <t>PALA</t>
  </si>
  <si>
    <t>PICO</t>
  </si>
  <si>
    <t>CARRETILLA</t>
  </si>
  <si>
    <t>ALBAÑIL</t>
  </si>
  <si>
    <t>Aplicación de sellador marca comex clasico 1X5 clasico incluye mano de obra, herramienta y material para su correcta aplicación.</t>
  </si>
  <si>
    <t>Suministro, colocación de salida hidraulica para regadera y pruebas de tubo de cobre de 13 mm (1/2") de diámetro. Incluye: suministro de material, lija, soldadura, agua para pruebas, mano de obra para acarreo libre horizontal y vertical, cortes, dobleces, presentación, unión de tubos y piezas, soldado, pruebas, equipo, herramienta, y todo lo necesario para su correcta ejecución.</t>
  </si>
  <si>
    <t>Suministro, colocación de salida hidraulica para lavabo y pruebas de tubo de cobre de 13 mm (1/2") de diámetro. Incluye: suministro de material, lija, soldadura, agua para pruebas, mano de obra para acarreo libre horizontal y vertical, cortes, dobleces, presentación, unión de tubos y piezas, soldado, pruebas, equipo, herramienta, y todo lo necesario para su correcta ejecución.</t>
  </si>
  <si>
    <t>Suministro, colocación de salida hidraulica para fregadero y pruebas de tubo de cobre de 13 mm (1/2") de diámetro. Incluye: suministro de material, lija, soldadura, agua para pruebas, mano de obra para acarreo libre horizontal y vertical, cortes, dobleces, presentación, unión de tubos y piezas, soldado, pruebas, equipo, herramienta, y todo lo necesario para su correcta ejecución.</t>
  </si>
  <si>
    <t>Suministro, colocación de salida hidraulica para calentador y pruebas de tubo de cobre de 13 mm (1/2") de diámetro. Incluye: suministro de material, lija, soldadura, agua para pruebas, mano de obra para acarreo libre horizontal y vertical, cortes, dobleces, presentación, unión de tubos y piezas, soldado, pruebas, equipo, herramienta, y todo lo necesario para su correcta ejecución.</t>
  </si>
  <si>
    <t>Salida</t>
  </si>
  <si>
    <t>Suministro, colocación de salida hidraulica para W.C y pruebas de tubo de cobre de 13 mm (1/2") de diámetro. Incluye: suministro de material, lija, soldadura, agua para pruebas, mano de obra para acarreo libre horizontal y vertical, cortes, dobleces, presentación, unión de tubos y piezas, soldado, pruebas, equipo, herramienta, y todo lo necesario para su correcta ejecución.</t>
  </si>
  <si>
    <t>Zapata corida incluye mano de obra, cimbra, decimbra y herramienta</t>
  </si>
  <si>
    <t>MILLAR</t>
  </si>
  <si>
    <t>KG</t>
  </si>
  <si>
    <t>CUBETA</t>
  </si>
  <si>
    <t>Excavacion para cimentacion: A mano para excavacion de cepas de .80m x.60 en suelo tipo 2 incluye herramienta . Al igual que limpieza y acarreo a la primera estacion y retiro de sobrante</t>
  </si>
  <si>
    <t>Drenaje</t>
  </si>
  <si>
    <t>Firme: Firme de concreto con F'c 200gk/m² con un espesor de 12cm malla electrosoldada cal  incluye todo lo necesario para su elaboracion</t>
  </si>
  <si>
    <t>Aluminero</t>
  </si>
  <si>
    <t>Instalacion de lavabo marca american standart modelo habitat color hueso incluye manerales y pedestal</t>
  </si>
  <si>
    <t>MATERIAL ELECTRICO</t>
  </si>
  <si>
    <t>Suministro y aplicación de impermeabilizante en azotea. Incluye: suminsitro de materiales tales como: , preparación de la superficie, aplicación de material impermiabilizante, retiro de desperdicios, limpieza, herramienta, equipo y todo lo necesario para su correcta ejecución.</t>
  </si>
  <si>
    <t>Instalacion de Puerta del  madera para el baño de .75x2.05 marca Puertas Infinity modelo Madrid Cerezo Instalacion de manija golden niquel satin marca defian incluye marco, chambranas mano de obra, material,herramienta y todo para su correcta instalacion.</t>
  </si>
  <si>
    <t>Instalacion de Puerta del  madera para Recamaras de .85x2.05 marca Puertas Infinity modelo Madrid Cerezo Instalacion de manija golden niquel satin marca defian incluye marco, chambranas mano de obra, material,herramienta y todo para su correcta instalacion.</t>
  </si>
  <si>
    <t>BARNIZ POLYFORM 3000</t>
  </si>
  <si>
    <t>Cemento F'c 100kg/cm2</t>
  </si>
  <si>
    <t xml:space="preserve">Cemento F'c 250kg/cm2 </t>
  </si>
  <si>
    <t>Zapata corrida: Se elaborara con concreto de F'c 250kg/cm² Hecho en obra de .40m de base por .60m de espesor con varilla de 3/8 y anillos del #2 @ 15cm incluye suministros, mano de obra, herramienta, armado, cimbrado,colado, decimbrado, curado limpieza de restos a pie de camion.</t>
  </si>
  <si>
    <t>TABIQUE ROJO 6X12X24</t>
  </si>
  <si>
    <t>Muros de carga: Tabique 6 x 12 x 24 asentado con mortero arena  con junta de 1.5cm con una altura de 2.5 con aplanado de mortero 1:5 incluye mano de obra, herramienta y todo lo necesario para su fabricacion.</t>
  </si>
  <si>
    <t>(INCLUYE JUNTAJUNTA DE 1.5 CM)</t>
  </si>
  <si>
    <t>JUNTA DE ARENA - MORTERO</t>
  </si>
  <si>
    <t>APLANADO DE MORTERO - ARENA</t>
  </si>
  <si>
    <t>Elaboracion de muro de tabique 7X14X24</t>
  </si>
  <si>
    <t>Total de costo en Cimentacion</t>
  </si>
  <si>
    <t xml:space="preserve">ARENA </t>
  </si>
  <si>
    <t>INCLUYE INSTALACION</t>
  </si>
  <si>
    <t>Kl</t>
  </si>
  <si>
    <t>Elaboracion de Castillos de 15x15, 15x20 y 15x30 incluye cimbra y decimbra</t>
  </si>
  <si>
    <r>
      <t>Cemento F'c 250kg/cm</t>
    </r>
    <r>
      <rPr>
        <vertAlign val="superscript"/>
        <sz val="11"/>
        <color theme="1"/>
        <rFont val="Calibri"/>
        <family val="2"/>
        <scheme val="minor"/>
      </rPr>
      <t xml:space="preserve">2 </t>
    </r>
  </si>
  <si>
    <t>Castillos:Elaborados en obra con armado de 10x10 y colado de 15x15 con concreto de 250 kg/m²  @20 cm  con varillas de 3/8 cuenta con los materiales necesarios para su fabricacion incluye mano de obra, herramienta., cimbra y decimbrar.</t>
  </si>
  <si>
    <t>Cadena de cerramiento de 15x40, 15x30 incluye cimbra y decimbra</t>
  </si>
  <si>
    <t>Colocacion de puertas y chapa incluye mano de obra y herramienta</t>
  </si>
  <si>
    <t xml:space="preserve">Aplicación de barniz incluye mano de obra y herramienta </t>
  </si>
  <si>
    <t>Carpintero</t>
  </si>
  <si>
    <t>Impermeabilizado de azotea incluye mano de obra y herramienta para su ejecucion</t>
  </si>
  <si>
    <t>PUERTA HECHA A LA MEDIDA DE 1.5X2.1</t>
  </si>
  <si>
    <t>(Incluye mano de obra e instalacion)</t>
  </si>
  <si>
    <t>(incluye herrajes,valvula angular y manguera y tapa)</t>
  </si>
  <si>
    <t>Elaboracion de firme de concreto de 10 a 15 cm incluye mano de obra y herramienta</t>
  </si>
  <si>
    <t>Concreto F'c 200kg/cm2</t>
  </si>
  <si>
    <t>Total de costo en Azotea</t>
  </si>
  <si>
    <t>Total de costo en Colocaciones</t>
  </si>
  <si>
    <t>Total de costo en Carpinteria y Cerrajeria</t>
  </si>
  <si>
    <t>Total de costo en Pisos</t>
  </si>
  <si>
    <t>Total de costo en Muros Dalas y Castillos</t>
  </si>
  <si>
    <t>Total de costo en Jardineria</t>
  </si>
  <si>
    <t>Limpieza final</t>
  </si>
  <si>
    <t>Total de costo en Estructura</t>
  </si>
  <si>
    <t>Total de costo de Limpieza Final</t>
  </si>
  <si>
    <t>IMPERMEABILIZANTE FESTER ACRITON 6AÑOS</t>
  </si>
  <si>
    <t>TABLA 2.5X30</t>
  </si>
  <si>
    <t>Ki</t>
  </si>
  <si>
    <t>ALAMRON PARA ESTRIBOS 1KL=3M</t>
  </si>
  <si>
    <t>kg</t>
  </si>
  <si>
    <t>Desgaste % 3</t>
  </si>
  <si>
    <t>Producto</t>
  </si>
  <si>
    <t>Medidad</t>
  </si>
  <si>
    <t>tubo cobre agua</t>
  </si>
  <si>
    <t> 1/2</t>
  </si>
  <si>
    <t>T/M</t>
  </si>
  <si>
    <t>T/N</t>
  </si>
  <si>
    <t> 3/4</t>
  </si>
  <si>
    <t>Codo de cobre</t>
  </si>
  <si>
    <t>X 90</t>
  </si>
  <si>
    <t>X 45</t>
  </si>
  <si>
    <t>Tee de cobre</t>
  </si>
  <si>
    <t>Cople de Cobre</t>
  </si>
  <si>
    <t>Conector cobre</t>
  </si>
  <si>
    <t>Mt</t>
  </si>
  <si>
    <t>Rollo</t>
  </si>
  <si>
    <t>60 GMS</t>
  </si>
  <si>
    <t>125GMS</t>
  </si>
  <si>
    <t>Valvula angular nacobre</t>
  </si>
  <si>
    <t>NACOB</t>
  </si>
  <si>
    <t>RUGO</t>
  </si>
  <si>
    <t>Tinaco rotoplas 1100lt</t>
  </si>
  <si>
    <t>TRICAPA</t>
  </si>
  <si>
    <t>NEGRO</t>
  </si>
  <si>
    <t>6 LITRS</t>
  </si>
  <si>
    <t>SOQUET REDONDO</t>
  </si>
  <si>
    <t>1./2</t>
  </si>
  <si>
    <t>3./4</t>
  </si>
  <si>
    <t>1 ventana</t>
  </si>
  <si>
    <t>2 ventana</t>
  </si>
  <si>
    <t>3 ventana</t>
  </si>
  <si>
    <t>Sencillo</t>
  </si>
  <si>
    <t>Escalera</t>
  </si>
  <si>
    <t>Tierra</t>
  </si>
  <si>
    <t>100 MTS</t>
  </si>
  <si>
    <t>50 MTS</t>
  </si>
  <si>
    <t>#8</t>
  </si>
  <si>
    <t>IUSA</t>
  </si>
  <si>
    <t>OTROS</t>
  </si>
  <si>
    <t>#10</t>
  </si>
  <si>
    <t>#12</t>
  </si>
  <si>
    <t>Tubo de Pvc</t>
  </si>
  <si>
    <t>2''</t>
  </si>
  <si>
    <t>4''</t>
  </si>
  <si>
    <t>Codo de Pvc</t>
  </si>
  <si>
    <t>Cople Pvc</t>
  </si>
  <si>
    <t>Pegamento pvc</t>
  </si>
  <si>
    <t>Cartucho</t>
  </si>
  <si>
    <t>bote (chico)</t>
  </si>
  <si>
    <t>MATERIAL SANITARIO</t>
  </si>
  <si>
    <t>Registro de manifestacion de construccion tipo A</t>
  </si>
  <si>
    <t xml:space="preserve">Analisis de estudio por m² </t>
  </si>
  <si>
    <t>TUBO DE COBRE 1/2 TIPO M</t>
  </si>
  <si>
    <t>LIJA</t>
  </si>
  <si>
    <t>Calentador calorex de paso</t>
  </si>
  <si>
    <t>PASTA PARA SOLDAR 16 G</t>
  </si>
  <si>
    <t>SOLDADURA PARA AGUA</t>
  </si>
  <si>
    <t>G</t>
  </si>
  <si>
    <t>Insatalacion electrica por salida incluye mano de obra y herramienta para su correcta colocacion</t>
  </si>
  <si>
    <t>MACETAS DE BARRO CON PALMAS</t>
  </si>
  <si>
    <t>Pretil: Tabique 6 x 12 x 24 asentado con mortero arena  con junta de 1.5cm con una altura de 2.5 con aplanado de mortero 1:5 incluye mano de obra, herramienta y todo lo necesario para su fabricacion.</t>
  </si>
  <si>
    <t>Registro</t>
  </si>
  <si>
    <t>Pesos</t>
  </si>
  <si>
    <t>Instalacion de W.C. incluye mano de obra y herramienta para su correcta colocacion</t>
  </si>
  <si>
    <t>Instalacion de Lavabo incluye mano de obra y herramienta para su correcta colocacion</t>
  </si>
  <si>
    <t>Instalacion de calentador incluye mano de obra y herramienta para su correcta colocacion</t>
  </si>
  <si>
    <t>Rendimiento por galon 30 a 40 M²/L diluido 1 a 3</t>
  </si>
  <si>
    <t>PINTURA COMEX BLANCO AMANECER EASY CLEAN</t>
  </si>
  <si>
    <t>SELLADOR 1X5 COMEX</t>
  </si>
  <si>
    <t>10 A 12 M2/L</t>
  </si>
  <si>
    <t>210M2</t>
  </si>
  <si>
    <t>10 a 12 m2/l</t>
  </si>
  <si>
    <t>RODILLO</t>
  </si>
  <si>
    <t>CHAROLA</t>
  </si>
  <si>
    <t>Instalacion de tinaco de 1 a 2 nivles incluye mano de obra y herramienta para su correcta colocacion</t>
  </si>
  <si>
    <t>Aplicación de pintura comex color blanco amanecer incluye mano de obra, material y herramienta para su correcta aplicación</t>
  </si>
  <si>
    <t>Pintor</t>
  </si>
  <si>
    <t>Aplicación de sellador incluye mano de obra y herramienta para su correcta aplicación</t>
  </si>
  <si>
    <t>Aplicación de pintura vinilica incluye mano de obra y herramienta para su correcta aplicación</t>
  </si>
  <si>
    <t>Total de costo en Pintura</t>
  </si>
  <si>
    <t>CODO DE COBRE 1/2''X90</t>
  </si>
  <si>
    <t>TEE DE COBRE 1/2''X90</t>
  </si>
  <si>
    <t>LOSETA LAMOSA 44X44 CAFÉ LINIA1QS</t>
  </si>
  <si>
    <t>LOSETA LAMOSA 44X44 BEIGE LCERA1O7</t>
  </si>
  <si>
    <t>1.54M2</t>
  </si>
  <si>
    <t>PZAS</t>
  </si>
  <si>
    <t>Azulejero</t>
  </si>
  <si>
    <t>Colocacion de loseta incluye nivelado, mano de obra y herramienta para su correcta colocacion</t>
  </si>
  <si>
    <t>Total de costos en Pintura</t>
  </si>
  <si>
    <t>Total de costos en Jardineria</t>
  </si>
  <si>
    <t>Limpieza a base de agua jabon, incluye mano de obra y materiales para su elaboracion</t>
  </si>
  <si>
    <t>Total de costo de limpieza final</t>
  </si>
  <si>
    <t>Total de costo en Hidrosanitaria</t>
  </si>
  <si>
    <t xml:space="preserve">TUBO PVC 4'' </t>
  </si>
  <si>
    <t>TRAMO</t>
  </si>
  <si>
    <t>CODO PVC 4'' X90</t>
  </si>
  <si>
    <t>CODO PVC 4'' X45</t>
  </si>
  <si>
    <t>YEE PVC4''</t>
  </si>
  <si>
    <t>TEE PVC 4''</t>
  </si>
  <si>
    <t>Total de costo en  Drenaje</t>
  </si>
  <si>
    <t>Total de Costos del Dreja</t>
  </si>
  <si>
    <t>Honorarios</t>
  </si>
  <si>
    <t>Costo Total de Construccion</t>
  </si>
  <si>
    <t xml:space="preserve">Costo Total </t>
  </si>
  <si>
    <t>Tiempo</t>
  </si>
  <si>
    <t xml:space="preserve">50 M² </t>
  </si>
  <si>
    <t>Rendimiento por Jornada</t>
  </si>
  <si>
    <t xml:space="preserve">2m³ </t>
  </si>
  <si>
    <t>14 m²</t>
  </si>
  <si>
    <t xml:space="preserve">7 m³ </t>
  </si>
  <si>
    <t>1 Dias</t>
  </si>
  <si>
    <t xml:space="preserve">2 m³ </t>
  </si>
  <si>
    <t xml:space="preserve">2 Pza </t>
  </si>
  <si>
    <t xml:space="preserve"> m²</t>
  </si>
  <si>
    <t>11 m²</t>
  </si>
  <si>
    <t>10 ml</t>
  </si>
  <si>
    <t>8 ml</t>
  </si>
  <si>
    <t>10 m²</t>
  </si>
  <si>
    <t>13 m²</t>
  </si>
  <si>
    <t xml:space="preserve">4 Pza </t>
  </si>
  <si>
    <t>30 m²</t>
  </si>
  <si>
    <t xml:space="preserve"> 2 Pza</t>
  </si>
  <si>
    <t xml:space="preserve"> ml</t>
  </si>
  <si>
    <t>Suministro, colocación de salida electrica para contactos y pruebas, incluye cable iusa del #12, manguera poliflex 1/2 , cinta de aislar, tapas y contactos . Incluye: suministro de material, pruebas, equipo, herramienta, y todo lo necesario para su correcta ejecución.</t>
  </si>
  <si>
    <t>Suministro, colocación de salida electrica para apagadores y pruebas, incluye cable iusa del #12, manguera poliflex 1/2 , cinta de aislar, tapas y apagadores . Incluye: suministro de material, pruebas, equipo, herramienta, y todo lo necesario para su correcta ejecución.</t>
  </si>
  <si>
    <t>Suministro, colocación de salida electrica para luminarias y pruebas, incluye cable iusa del #12, manguera poliflex 1/2 , cinta de aislar, caja de 3/4 con tapa y soquet . Incluye: suministro de material, pruebas, equipo, herramienta, y todo lo necesario para su correcta ejecución.</t>
  </si>
  <si>
    <t>Suministro, colocación de salida electrica para cometida y pruebas, incluye cable iusa del #8, manguera poliflex 3/4 . Incluye: suministro de material, pruebas, equipo, herramienta, y todo lo necesario para su correcta ejecución.</t>
  </si>
  <si>
    <t>M</t>
  </si>
  <si>
    <t>CINTA DE AISLAR NITTO</t>
  </si>
  <si>
    <t>CABLE IUSA #8</t>
  </si>
  <si>
    <t>CABLE IUSA #10</t>
  </si>
  <si>
    <t>CABLE IUSA #12</t>
  </si>
  <si>
    <t>MANGUERA POLIFLEX 1/2</t>
  </si>
  <si>
    <t>MANGUERA POLIFLEX 3/4</t>
  </si>
  <si>
    <t>CONTACTO MODUS</t>
  </si>
  <si>
    <t>APAGADOR MODUS</t>
  </si>
  <si>
    <t>CHALUPA</t>
  </si>
  <si>
    <t>CAJA DE REGISTRO 1/2</t>
  </si>
  <si>
    <t>CAJA DE REGISTRO 3/4</t>
  </si>
  <si>
    <t>TAPA BTICINO MODUS 1 VENTANA</t>
  </si>
  <si>
    <t>TAPA BTICINO MODUS 2 VENTANAS</t>
  </si>
  <si>
    <t>TAPA BTICINO MODUS 3 VENTANAS</t>
  </si>
  <si>
    <t>Insatalacion hidrosanitaria por salida incluye mano de obra y herramienta para su correcta colocacion</t>
  </si>
  <si>
    <t>salida</t>
  </si>
  <si>
    <t>2 Pza</t>
  </si>
  <si>
    <t xml:space="preserve"> 115 m²</t>
  </si>
  <si>
    <t xml:space="preserve"> 6 Pza</t>
  </si>
  <si>
    <t>10 Pza</t>
  </si>
  <si>
    <t>6 Pza</t>
  </si>
  <si>
    <t>F</t>
  </si>
  <si>
    <t>J</t>
  </si>
  <si>
    <t>I</t>
  </si>
  <si>
    <t>H</t>
  </si>
  <si>
    <t>K</t>
  </si>
  <si>
    <t>L</t>
  </si>
  <si>
    <t>N</t>
  </si>
  <si>
    <t>FINAL</t>
  </si>
  <si>
    <t>INICIO</t>
  </si>
  <si>
    <t>PRELIMINARES</t>
  </si>
  <si>
    <t>CIMENTACION</t>
  </si>
  <si>
    <t>DRENAJE</t>
  </si>
  <si>
    <t>ESTRUCTURA</t>
  </si>
  <si>
    <t>PISOS</t>
  </si>
  <si>
    <t>COLOCACIONES</t>
  </si>
  <si>
    <t>AZOTEA</t>
  </si>
  <si>
    <t>INS. ELECTRICAS</t>
  </si>
  <si>
    <t>INS. HIDROSANITARIA</t>
  </si>
  <si>
    <t>CARPINTERIA Y CERRAJERIA</t>
  </si>
  <si>
    <t>PINTURA</t>
  </si>
  <si>
    <t>JARDINERIA</t>
  </si>
  <si>
    <t>LIMPIEZA FINAL</t>
  </si>
  <si>
    <t>BRISEÑO GOMEZ CARMEN AURORA</t>
  </si>
  <si>
    <t>CRUZ MENDOZA ANGEL FRANCISCO</t>
  </si>
  <si>
    <t>15 DIAS</t>
  </si>
  <si>
    <t>H=</t>
  </si>
  <si>
    <t>Dias</t>
  </si>
  <si>
    <t>Actividad</t>
  </si>
  <si>
    <t>Inicio</t>
  </si>
  <si>
    <t>Termino</t>
  </si>
  <si>
    <t>A.0</t>
  </si>
  <si>
    <t>MURO,DALAS, CASTILLOS</t>
  </si>
  <si>
    <t>PRELIMINARES GESTORIA</t>
  </si>
  <si>
    <t>Diagrama de grant de propuesta</t>
  </si>
  <si>
    <t>Diagrama de grant lineal</t>
  </si>
  <si>
    <t>Total de dias</t>
  </si>
  <si>
    <t xml:space="preserve">Ins. Hidrosanitarias </t>
  </si>
  <si>
    <t xml:space="preserve">Ins. Electricas </t>
  </si>
  <si>
    <t xml:space="preserve">Carpinteria y cerrajeria </t>
  </si>
  <si>
    <t xml:space="preserve">Pintura </t>
  </si>
  <si>
    <t xml:space="preserve">Jardineria </t>
  </si>
  <si>
    <t xml:space="preserve">Limpieza final </t>
  </si>
  <si>
    <t>Preliminar</t>
  </si>
  <si>
    <t xml:space="preserve">Drenaje </t>
  </si>
  <si>
    <t xml:space="preserve">Muros, dalas y castillos </t>
  </si>
  <si>
    <t xml:space="preserve">Pisos </t>
  </si>
  <si>
    <t xml:space="preserve">Colocaciones </t>
  </si>
  <si>
    <t>Azoteas</t>
  </si>
  <si>
    <t>Gestoria de permisos</t>
  </si>
  <si>
    <t>Semana 1</t>
  </si>
  <si>
    <t>Semana 2</t>
  </si>
  <si>
    <t>Semana 3</t>
  </si>
  <si>
    <t>Semana 4</t>
  </si>
  <si>
    <t>Semana 5</t>
  </si>
  <si>
    <t>Semana 6</t>
  </si>
  <si>
    <t>Semana 7</t>
  </si>
  <si>
    <t>Semana 8</t>
  </si>
  <si>
    <t>Semana 9</t>
  </si>
  <si>
    <t>Semana 10</t>
  </si>
  <si>
    <t>Semana 11</t>
  </si>
  <si>
    <t>Semana 12</t>
  </si>
  <si>
    <t>Semana 13</t>
  </si>
  <si>
    <t>Semana 14</t>
  </si>
  <si>
    <t>Semana 15</t>
  </si>
  <si>
    <t>Semana 16</t>
  </si>
  <si>
    <t>Semana 17</t>
  </si>
  <si>
    <t>Semana 18</t>
  </si>
  <si>
    <t>CIMBRA CADENAS, CASTILLOS</t>
  </si>
  <si>
    <t>CIMBRA LOSA</t>
  </si>
  <si>
    <t>CIMBRA CIMENTACION</t>
  </si>
  <si>
    <t>TROMPO</t>
  </si>
  <si>
    <t>MUFA</t>
  </si>
  <si>
    <t>MATERIALES</t>
  </si>
  <si>
    <t>SEMANA</t>
  </si>
  <si>
    <t>MES</t>
  </si>
  <si>
    <t>FECHA</t>
  </si>
  <si>
    <t>13/07/2015 18/07/2015</t>
  </si>
  <si>
    <t>20/07/2015  25/07/2015</t>
  </si>
  <si>
    <t>27/07/2015  01/08/2015</t>
  </si>
  <si>
    <t>Ton</t>
  </si>
  <si>
    <t>Bulto</t>
  </si>
  <si>
    <t>Millar</t>
  </si>
  <si>
    <t>03/08/2015  08/08/2015</t>
  </si>
  <si>
    <t>10/08/2015  15/08/2015</t>
  </si>
  <si>
    <t>17/08/2015  22/08/2015</t>
  </si>
  <si>
    <t>24/08/2015  29/08/2015</t>
  </si>
  <si>
    <t>31/08/2015  05/09/2015</t>
  </si>
  <si>
    <t>07/09/2015  12/09/2015</t>
  </si>
  <si>
    <t>14/09/2015  19/09/2015</t>
  </si>
  <si>
    <t>21/09/2015  26/09/2015</t>
  </si>
  <si>
    <t>28/09/2015  03/10/2015</t>
  </si>
  <si>
    <t>05/10/2015  10/10/2015</t>
  </si>
  <si>
    <t>12/10/2015  17/10/2015</t>
  </si>
  <si>
    <t>19/10/2015  24/10/2015</t>
  </si>
  <si>
    <t>26/10/2015  31/10/2015</t>
  </si>
  <si>
    <t>02/11/2015  07/11/2015</t>
  </si>
  <si>
    <t>5.33 ml</t>
  </si>
  <si>
    <t>JABON, ESCOBA, JALADOR, BOTE, JERGA Y FRANELA</t>
  </si>
  <si>
    <t>Caja</t>
  </si>
  <si>
    <t>Cubeta</t>
  </si>
  <si>
    <t>Dia</t>
  </si>
  <si>
    <t>Semana (4dias)</t>
  </si>
  <si>
    <t>Total x ml</t>
  </si>
  <si>
    <t>Semana(6 dias)</t>
  </si>
  <si>
    <t>Semana(5dias</t>
  </si>
  <si>
    <t>09/11/2015  16/11/2015</t>
  </si>
  <si>
    <t>Total ml</t>
  </si>
  <si>
    <t>Pzas</t>
  </si>
  <si>
    <t>Semana(4 dias)</t>
  </si>
  <si>
    <t>Semana(2 dias)</t>
  </si>
  <si>
    <t>A-F</t>
  </si>
  <si>
    <t>D-F</t>
  </si>
  <si>
    <t>B-D</t>
  </si>
  <si>
    <t>C-E</t>
  </si>
  <si>
    <t>B-C</t>
  </si>
  <si>
    <t>1-9-</t>
  </si>
  <si>
    <t>3-9-</t>
  </si>
  <si>
    <t>5-6-</t>
  </si>
  <si>
    <t>2-8-</t>
  </si>
  <si>
    <t>2-9-</t>
  </si>
  <si>
    <t>3-4-</t>
  </si>
  <si>
    <t>4-8-</t>
  </si>
  <si>
    <t>Primer Nivel</t>
  </si>
  <si>
    <t>Segundo nivel</t>
  </si>
  <si>
    <t>Castillos:Elaborados en obra con armado de 15x25 y colado de 15x30 con concreto de 250 kg/m² convarillas se 3/8 y estribos del #2 @20cm cuenta con los materiales necesarios para su fabricacion incluye mano de obra, herramienta., cimbra y decimbrar.</t>
  </si>
  <si>
    <t>5-7-</t>
  </si>
  <si>
    <t>PRIMER NIVEL</t>
  </si>
  <si>
    <t>SEGUNDO NIVEL</t>
  </si>
  <si>
    <t>7-9-</t>
  </si>
  <si>
    <t>Losa: Colada en sitio con un concreto de F'c 250kg/m² de 12 cm de espesor armada con varilla del #3 incluye colado, cimbra, decimbra, mano de obra y todos materiales para su correcta fabricacion</t>
  </si>
  <si>
    <t>Suministro, colocación de salida hidraulica para salida de  lavadora y pruebas de tubo de cobre de 13 mm (1/2") de diámetro. Incluye: suministro de material, lija, soldadura, agua para pruebas, mano de obra para acarreo libre horizontal y vertical, cortes, dobleces, presentación, unión de tubos y piezas, soldado, pruebas, equipo, herramienta, y todo lo necesario para su correcta ejecución.</t>
  </si>
  <si>
    <t>Instalacion de Puerta del  madera para acceso de 1.70x2.10 hecha a la medida incluye marco, chambranas mano de obra, material,herramienta y todo para su correcta instalacion.</t>
  </si>
  <si>
    <t>Cadena de cerramiento: Hecha en obra con dimension de 15x30 con un concreto de F'c 250kg/m² varillas de 3/8 y estribos del #2 @20cm incluye mano de obra, herramienta, cimbra, desimbrado y todo lo necesario para su elaboracion</t>
  </si>
  <si>
    <t>3-6-</t>
  </si>
  <si>
    <t>8-9-</t>
  </si>
  <si>
    <t>4-9-</t>
  </si>
  <si>
    <t>Entrepiso: armado con concreto F'c 250 kg/cm² de 12 cm de espesor armado con varilla del #3 incluye cimbra, decimbra, mano de obra y todos los materiales para su correcta elaboracion</t>
  </si>
  <si>
    <t>Colocada en Sala, Comedor,Recamaras, cuarto de estudio, pasillo, cocina</t>
  </si>
  <si>
    <t>Colocacion de Loseta lamosa .44X.44 Chocolate  LCERA1O7, incluye mano de obra, herramienta, material y todo para su correcta colocacion</t>
  </si>
  <si>
    <t>baños</t>
  </si>
  <si>
    <t>terraza</t>
  </si>
  <si>
    <t>Colocacion de adocreto uso rudo gris 20 x 20cm y 5 cms de espesor f'c 250cm/kg2 , incluye mano de obra, herramienta, material y todo para su correcta colocacion</t>
  </si>
  <si>
    <t>exterior</t>
  </si>
  <si>
    <t>plantacion de pasto de pasto bermuda por rollo en area de jardin incluye mano de obra y todo lo necesario para su correcta colocacion</t>
  </si>
  <si>
    <t>Elaboracion y colocacion de ventanas con dimensiones de 1.50x1.10 incluye mano de obra y material para correcta colocacion</t>
  </si>
  <si>
    <t>Elaboracion y colocacion de ventanas con dimensiones de 2.00x1.10 incluye mano de obra y material para correcta colocacion</t>
  </si>
  <si>
    <t>Elaboracion de escalera de 95 cms de ancho con 25 cms de huella y 17 de peralte</t>
  </si>
  <si>
    <t>ARQUITECTURA</t>
  </si>
  <si>
    <t>PRESUPUESTOS                             ANÁLISIS DE COSTO DIRECTO</t>
  </si>
  <si>
    <t>NOMBRE DE LA OBRA:                                                                                                                       ALUMNO:</t>
  </si>
  <si>
    <t>GRUPO:                                                                                                                                                   FECHA: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</si>
</sst>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0;[Red]\-&quot;$&quot;#,##0"/>
    <numFmt numFmtId="8" formatCode="&quot;$&quot;#,##0.00;[Red]\-&quot;$&quot;#,##0.00"/>
    <numFmt numFmtId="44" formatCode="_-&quot;$&quot;* #,##0.00_-;\-&quot;$&quot;* #,##0.00_-;_-&quot;$&quot;* &quot;-&quot;??_-;_-@_-"/>
    <numFmt numFmtId="164" formatCode="0.000"/>
    <numFmt numFmtId="165" formatCode="&quot;$&quot;#,##0.00"/>
  </numFmts>
  <fonts count="12" x14ac:knownFonts="1">
    <font>
      <sz val="11"/>
      <color theme="1"/>
      <name val="Calibri"/>
      <family val="2"/>
      <scheme val="minor"/>
    </font>
    <font>
      <sz val="11"/>
      <color rgb="FFFF0000"/>
      <name val="Calibri"/>
      <family val="2"/>
      <scheme val="minor"/>
    </font>
    <font>
      <sz val="11"/>
      <color theme="1"/>
      <name val="Calibri"/>
      <family val="2"/>
      <scheme val="minor"/>
    </font>
    <font>
      <sz val="11"/>
      <name val="Calibri"/>
      <family val="2"/>
      <scheme val="minor"/>
    </font>
    <font>
      <b/>
      <sz val="11"/>
      <color theme="1"/>
      <name val="Calibri"/>
      <family val="2"/>
      <scheme val="minor"/>
    </font>
    <font>
      <b/>
      <sz val="11"/>
      <color rgb="FFFF0000"/>
      <name val="Arial Black"/>
      <family val="2"/>
    </font>
    <font>
      <vertAlign val="superscript"/>
      <sz val="11"/>
      <color theme="1"/>
      <name val="Calibri"/>
      <family val="2"/>
      <scheme val="minor"/>
    </font>
    <font>
      <b/>
      <sz val="11"/>
      <name val="Calibri"/>
      <family val="2"/>
      <scheme val="minor"/>
    </font>
    <font>
      <b/>
      <sz val="11"/>
      <color rgb="FF000000"/>
      <name val="Calibri"/>
      <family val="2"/>
      <scheme val="minor"/>
    </font>
    <font>
      <b/>
      <sz val="11"/>
      <color rgb="FFFF0000"/>
      <name val="Calibri"/>
      <family val="2"/>
      <scheme val="minor"/>
    </font>
    <font>
      <b/>
      <sz val="18"/>
      <color theme="1"/>
      <name val="Calibri"/>
      <family val="2"/>
      <scheme val="minor"/>
    </font>
    <font>
      <b/>
      <sz val="26"/>
      <color theme="0"/>
      <name val="Calibri"/>
      <family val="2"/>
      <scheme val="minor"/>
    </font>
  </fonts>
  <fills count="12">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C0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44" fontId="2" fillId="0" borderId="0" applyFont="0" applyFill="0" applyBorder="0" applyAlignment="0" applyProtection="0"/>
  </cellStyleXfs>
  <cellXfs count="169">
    <xf numFmtId="0" fontId="0" fillId="0" borderId="0" xfId="0"/>
    <xf numFmtId="0" fontId="0" fillId="0" borderId="0" xfId="0" applyAlignment="1">
      <alignment wrapText="1"/>
    </xf>
    <xf numFmtId="0" fontId="0" fillId="2" borderId="0" xfId="0" applyFill="1"/>
    <xf numFmtId="0" fontId="0" fillId="0" borderId="0" xfId="0" applyAlignment="1">
      <alignment horizontal="center" vertical="center"/>
    </xf>
    <xf numFmtId="49" fontId="0" fillId="0" borderId="0" xfId="0" applyNumberFormat="1" applyAlignment="1">
      <alignment horizontal="center" vertical="center"/>
    </xf>
    <xf numFmtId="0" fontId="0" fillId="0" borderId="0" xfId="0" applyAlignment="1">
      <alignment horizontal="center"/>
    </xf>
    <xf numFmtId="0" fontId="0" fillId="2" borderId="0" xfId="0" applyFill="1" applyAlignment="1">
      <alignment horizontal="center" vertical="center"/>
    </xf>
    <xf numFmtId="0" fontId="0" fillId="0" borderId="0" xfId="0" applyAlignment="1">
      <alignment horizontal="left" vertical="center" wrapText="1"/>
    </xf>
    <xf numFmtId="0" fontId="0" fillId="0" borderId="0" xfId="0" applyAlignment="1"/>
    <xf numFmtId="0" fontId="0" fillId="0" borderId="0" xfId="0" applyFill="1" applyAlignment="1">
      <alignment horizontal="center" vertical="center"/>
    </xf>
    <xf numFmtId="0" fontId="4" fillId="0" borderId="0" xfId="0" applyFont="1"/>
    <xf numFmtId="0" fontId="4" fillId="0" borderId="0" xfId="0" applyFont="1" applyAlignment="1">
      <alignment horizontal="center"/>
    </xf>
    <xf numFmtId="8" fontId="4" fillId="0" borderId="0" xfId="0" applyNumberFormat="1" applyFont="1" applyAlignment="1">
      <alignment horizontal="center"/>
    </xf>
    <xf numFmtId="6" fontId="4" fillId="0" borderId="0" xfId="0" applyNumberFormat="1" applyFont="1" applyAlignment="1">
      <alignment horizontal="center"/>
    </xf>
    <xf numFmtId="0" fontId="4" fillId="0" borderId="0" xfId="0" applyFont="1" applyAlignment="1">
      <alignment horizontal="center" vertical="center"/>
    </xf>
    <xf numFmtId="44" fontId="4" fillId="0" borderId="0" xfId="1" applyFont="1"/>
    <xf numFmtId="0" fontId="4" fillId="0" borderId="0" xfId="0" applyFont="1" applyFill="1"/>
    <xf numFmtId="0" fontId="4" fillId="0" borderId="0" xfId="0" applyFont="1" applyFill="1" applyAlignment="1">
      <alignment horizontal="center"/>
    </xf>
    <xf numFmtId="8" fontId="4" fillId="0" borderId="0" xfId="0" applyNumberFormat="1" applyFont="1" applyFill="1" applyAlignment="1">
      <alignment horizontal="center"/>
    </xf>
    <xf numFmtId="8" fontId="0" fillId="0" borderId="0" xfId="0" applyNumberFormat="1"/>
    <xf numFmtId="0" fontId="0" fillId="0" borderId="0" xfId="0" applyAlignment="1">
      <alignment vertical="top" wrapText="1"/>
    </xf>
    <xf numFmtId="165" fontId="4" fillId="0" borderId="0" xfId="1" applyNumberFormat="1" applyFont="1"/>
    <xf numFmtId="0" fontId="0" fillId="0" borderId="0" xfId="0" applyAlignment="1">
      <alignment horizontal="right"/>
    </xf>
    <xf numFmtId="0" fontId="0" fillId="0" borderId="0" xfId="0" applyAlignment="1">
      <alignment vertical="center"/>
    </xf>
    <xf numFmtId="0" fontId="0" fillId="2" borderId="0" xfId="0" applyFill="1" applyAlignment="1">
      <alignment horizontal="center"/>
    </xf>
    <xf numFmtId="0" fontId="4" fillId="0" borderId="0" xfId="0" applyFont="1" applyAlignment="1">
      <alignment horizontal="left" wrapText="1"/>
    </xf>
    <xf numFmtId="0" fontId="4" fillId="0" borderId="0" xfId="0" applyFont="1" applyAlignment="1">
      <alignment wrapText="1"/>
    </xf>
    <xf numFmtId="0" fontId="5" fillId="0" borderId="0" xfId="0" applyFont="1" applyFill="1" applyAlignment="1">
      <alignment horizontal="center"/>
    </xf>
    <xf numFmtId="0" fontId="0" fillId="0" borderId="0" xfId="0" applyFill="1"/>
    <xf numFmtId="0" fontId="7" fillId="0" borderId="0" xfId="0" applyFont="1" applyFill="1" applyAlignment="1">
      <alignment horizontal="center"/>
    </xf>
    <xf numFmtId="165" fontId="7" fillId="0" borderId="0" xfId="1" applyNumberFormat="1" applyFont="1" applyFill="1" applyAlignment="1">
      <alignment horizontal="center"/>
    </xf>
    <xf numFmtId="0" fontId="7" fillId="0" borderId="0" xfId="0" applyFont="1" applyAlignment="1">
      <alignment vertical="center" wrapText="1"/>
    </xf>
    <xf numFmtId="0" fontId="8" fillId="0" borderId="0" xfId="0" applyFont="1" applyAlignment="1">
      <alignment vertical="center" wrapText="1"/>
    </xf>
    <xf numFmtId="0" fontId="0" fillId="3" borderId="0" xfId="0" applyFill="1"/>
    <xf numFmtId="0" fontId="0" fillId="0" borderId="0" xfId="0" applyFill="1" applyAlignment="1">
      <alignment wrapText="1"/>
    </xf>
    <xf numFmtId="44" fontId="0" fillId="0" borderId="0" xfId="1" applyFont="1"/>
    <xf numFmtId="44" fontId="0" fillId="0" borderId="0" xfId="1" applyFont="1" applyAlignment="1">
      <alignment vertical="center"/>
    </xf>
    <xf numFmtId="44" fontId="0" fillId="0" borderId="0" xfId="1" applyFont="1" applyAlignment="1">
      <alignment horizontal="center" vertical="center"/>
    </xf>
    <xf numFmtId="44" fontId="0" fillId="0" borderId="0" xfId="1" applyFont="1" applyAlignment="1"/>
    <xf numFmtId="44" fontId="0" fillId="0" borderId="0" xfId="0" applyNumberFormat="1"/>
    <xf numFmtId="44" fontId="0" fillId="3" borderId="0" xfId="0" applyNumberFormat="1" applyFill="1"/>
    <xf numFmtId="44" fontId="0" fillId="0" borderId="0" xfId="0" applyNumberFormat="1" applyFill="1"/>
    <xf numFmtId="44" fontId="4" fillId="0" borderId="0" xfId="0" applyNumberFormat="1" applyFont="1"/>
    <xf numFmtId="44" fontId="4" fillId="0" borderId="0" xfId="1" applyFont="1" applyFill="1" applyAlignment="1">
      <alignment horizontal="center"/>
    </xf>
    <xf numFmtId="44" fontId="0" fillId="3" borderId="0" xfId="0" applyNumberFormat="1" applyFill="1" applyAlignment="1">
      <alignment vertical="center"/>
    </xf>
    <xf numFmtId="44" fontId="2" fillId="0" borderId="0" xfId="1" applyFont="1"/>
    <xf numFmtId="44" fontId="2" fillId="0" borderId="0" xfId="1" applyFont="1" applyAlignment="1">
      <alignment horizontal="right"/>
    </xf>
    <xf numFmtId="0" fontId="2" fillId="0" borderId="0" xfId="1" applyNumberFormat="1" applyFont="1"/>
    <xf numFmtId="44" fontId="4" fillId="4" borderId="0" xfId="0" applyNumberFormat="1" applyFont="1" applyFill="1"/>
    <xf numFmtId="8" fontId="0" fillId="0" borderId="0" xfId="1" applyNumberFormat="1" applyFont="1"/>
    <xf numFmtId="165" fontId="4" fillId="0" borderId="0" xfId="1" applyNumberFormat="1" applyFont="1" applyAlignment="1">
      <alignment horizontal="center"/>
    </xf>
    <xf numFmtId="44" fontId="4" fillId="0" borderId="0" xfId="1" applyFont="1" applyFill="1"/>
    <xf numFmtId="44" fontId="0" fillId="0" borderId="0" xfId="1" applyFont="1" applyFill="1"/>
    <xf numFmtId="44" fontId="9" fillId="4" borderId="0" xfId="0" applyNumberFormat="1" applyFont="1" applyFill="1" applyAlignment="1"/>
    <xf numFmtId="1" fontId="0" fillId="0" borderId="0" xfId="0" applyNumberFormat="1"/>
    <xf numFmtId="44" fontId="4" fillId="0" borderId="0" xfId="0" applyNumberFormat="1" applyFont="1" applyFill="1"/>
    <xf numFmtId="8" fontId="4" fillId="0" borderId="0" xfId="0" applyNumberFormat="1" applyFont="1"/>
    <xf numFmtId="2" fontId="0" fillId="0" borderId="0" xfId="0" applyNumberFormat="1"/>
    <xf numFmtId="44" fontId="4" fillId="0" borderId="0" xfId="1" applyFont="1" applyAlignment="1"/>
    <xf numFmtId="44" fontId="0" fillId="0" borderId="0" xfId="0" applyNumberFormat="1" applyAlignment="1">
      <alignment wrapText="1"/>
    </xf>
    <xf numFmtId="0" fontId="0" fillId="0" borderId="0" xfId="1" applyNumberFormat="1" applyFont="1"/>
    <xf numFmtId="165" fontId="4" fillId="4" borderId="0" xfId="0" applyNumberFormat="1" applyFont="1" applyFill="1"/>
    <xf numFmtId="44" fontId="9" fillId="4" borderId="0" xfId="0" applyNumberFormat="1" applyFont="1" applyFill="1"/>
    <xf numFmtId="44" fontId="9" fillId="4" borderId="0" xfId="1" applyFont="1" applyFill="1"/>
    <xf numFmtId="0" fontId="0" fillId="0" borderId="0" xfId="0" applyAlignment="1">
      <alignment horizontal="center"/>
    </xf>
    <xf numFmtId="0" fontId="0" fillId="0" borderId="0" xfId="0" applyAlignment="1">
      <alignment horizontal="center"/>
    </xf>
    <xf numFmtId="0" fontId="4" fillId="0" borderId="0" xfId="0" applyFont="1" applyFill="1" applyAlignment="1">
      <alignment wrapText="1"/>
    </xf>
    <xf numFmtId="8" fontId="4" fillId="0" borderId="0" xfId="1" applyNumberFormat="1" applyFont="1" applyFill="1" applyAlignment="1">
      <alignment horizontal="center"/>
    </xf>
    <xf numFmtId="0" fontId="0" fillId="0" borderId="0" xfId="0" applyFill="1" applyAlignment="1"/>
    <xf numFmtId="44" fontId="0" fillId="0" borderId="0" xfId="0" applyNumberFormat="1" applyFill="1" applyAlignment="1">
      <alignment vertical="center"/>
    </xf>
    <xf numFmtId="44" fontId="0" fillId="0" borderId="0" xfId="0" applyNumberFormat="1" applyFont="1"/>
    <xf numFmtId="0" fontId="0" fillId="2" borderId="0" xfId="0" applyFill="1" applyAlignment="1"/>
    <xf numFmtId="44" fontId="0" fillId="0" borderId="0" xfId="0" applyNumberFormat="1" applyFill="1" applyAlignment="1"/>
    <xf numFmtId="44" fontId="4" fillId="0" borderId="0" xfId="0" applyNumberFormat="1" applyFont="1" applyFill="1" applyAlignment="1"/>
    <xf numFmtId="44" fontId="0" fillId="0" borderId="0" xfId="0" applyNumberFormat="1" applyFill="1" applyAlignment="1">
      <alignment wrapText="1"/>
    </xf>
    <xf numFmtId="0" fontId="0" fillId="0" borderId="0" xfId="1" applyNumberFormat="1" applyFont="1" applyFill="1" applyAlignment="1"/>
    <xf numFmtId="44" fontId="4" fillId="0" borderId="0" xfId="1" applyFont="1" applyFill="1" applyAlignment="1"/>
    <xf numFmtId="0" fontId="9" fillId="0" borderId="0" xfId="0" applyFont="1" applyFill="1" applyAlignment="1">
      <alignment horizontal="center"/>
    </xf>
    <xf numFmtId="44" fontId="9" fillId="0" borderId="0" xfId="0" applyNumberFormat="1" applyFont="1" applyFill="1"/>
    <xf numFmtId="44" fontId="0" fillId="0" borderId="0" xfId="0" applyNumberFormat="1" applyFont="1" applyFill="1"/>
    <xf numFmtId="0" fontId="0" fillId="0" borderId="1" xfId="0" applyBorder="1"/>
    <xf numFmtId="0" fontId="1" fillId="0" borderId="0" xfId="0" applyFont="1"/>
    <xf numFmtId="0" fontId="1" fillId="4" borderId="0" xfId="0" applyFont="1" applyFill="1"/>
    <xf numFmtId="0" fontId="1" fillId="4" borderId="0" xfId="0" applyFont="1" applyFill="1" applyAlignment="1">
      <alignment horizontal="center"/>
    </xf>
    <xf numFmtId="15" fontId="0" fillId="0" borderId="0" xfId="0" applyNumberFormat="1" applyFill="1" applyAlignment="1">
      <alignment horizontal="center" vertical="center"/>
    </xf>
    <xf numFmtId="15" fontId="0" fillId="0" borderId="0" xfId="0" applyNumberFormat="1" applyAlignment="1">
      <alignment horizontal="center" vertical="center"/>
    </xf>
    <xf numFmtId="0" fontId="0" fillId="0" borderId="0" xfId="0" applyBorder="1"/>
    <xf numFmtId="0" fontId="0" fillId="0" borderId="0" xfId="0" applyAlignment="1">
      <alignment horizontal="center" wrapText="1"/>
    </xf>
    <xf numFmtId="0" fontId="1" fillId="4" borderId="0" xfId="0" applyFont="1" applyFill="1" applyAlignment="1">
      <alignment horizontal="center"/>
    </xf>
    <xf numFmtId="0" fontId="1" fillId="4" borderId="0" xfId="0" applyFont="1" applyFill="1" applyAlignment="1">
      <alignment horizontal="center" vertical="center"/>
    </xf>
    <xf numFmtId="0" fontId="0" fillId="3" borderId="0" xfId="0" applyFill="1" applyAlignment="1">
      <alignment horizontal="center" vertical="center"/>
    </xf>
    <xf numFmtId="0" fontId="0" fillId="0" borderId="0" xfId="0" applyAlignment="1">
      <alignment horizontal="center"/>
    </xf>
    <xf numFmtId="0" fontId="3" fillId="6" borderId="0" xfId="0" applyFont="1" applyFill="1" applyAlignment="1">
      <alignment horizontal="center"/>
    </xf>
    <xf numFmtId="0" fontId="0" fillId="6" borderId="0" xfId="0" applyFill="1"/>
    <xf numFmtId="0" fontId="3" fillId="6" borderId="0" xfId="0" applyFont="1" applyFill="1" applyAlignment="1">
      <alignment horizontal="left" vertical="top"/>
    </xf>
    <xf numFmtId="0" fontId="1" fillId="0" borderId="0" xfId="0" applyFont="1" applyFill="1" applyAlignment="1">
      <alignment horizontal="center" vertical="center"/>
    </xf>
    <xf numFmtId="0" fontId="1" fillId="0" borderId="0" xfId="0" applyFont="1" applyFill="1" applyAlignment="1">
      <alignment horizontal="center"/>
    </xf>
    <xf numFmtId="15" fontId="0" fillId="0" borderId="0" xfId="0" applyNumberFormat="1" applyAlignment="1">
      <alignment wrapText="1"/>
    </xf>
    <xf numFmtId="0" fontId="0" fillId="7" borderId="0" xfId="0" applyFill="1"/>
    <xf numFmtId="0" fontId="3" fillId="0" borderId="0" xfId="0" applyFont="1" applyFill="1" applyAlignment="1">
      <alignment horizontal="center" vertical="center"/>
    </xf>
    <xf numFmtId="0" fontId="0" fillId="6" borderId="0" xfId="0" applyFill="1" applyAlignment="1">
      <alignment wrapText="1"/>
    </xf>
    <xf numFmtId="0" fontId="0" fillId="6" borderId="0" xfId="0" applyFill="1" applyAlignment="1">
      <alignment horizontal="left" vertical="top" wrapText="1"/>
    </xf>
    <xf numFmtId="0" fontId="0" fillId="6" borderId="0" xfId="0" applyFill="1" applyAlignment="1">
      <alignment horizontal="center"/>
    </xf>
    <xf numFmtId="0" fontId="0" fillId="0" borderId="1" xfId="0" applyBorder="1" applyAlignment="1"/>
    <xf numFmtId="0" fontId="0" fillId="3" borderId="1" xfId="0" applyFill="1" applyBorder="1"/>
    <xf numFmtId="0" fontId="0" fillId="2" borderId="1" xfId="0" applyFill="1" applyBorder="1"/>
    <xf numFmtId="0" fontId="3" fillId="2" borderId="1" xfId="0" applyFont="1" applyFill="1" applyBorder="1" applyAlignment="1">
      <alignment wrapText="1"/>
    </xf>
    <xf numFmtId="0" fontId="0" fillId="0" borderId="1" xfId="0" applyFill="1" applyBorder="1"/>
    <xf numFmtId="0" fontId="0" fillId="0" borderId="1" xfId="0" applyFill="1" applyBorder="1" applyAlignment="1">
      <alignment wrapText="1"/>
    </xf>
    <xf numFmtId="0" fontId="0" fillId="0" borderId="1" xfId="0" applyBorder="1" applyAlignment="1">
      <alignment horizontal="center" vertical="center"/>
    </xf>
    <xf numFmtId="0" fontId="0" fillId="0" borderId="1" xfId="0" applyBorder="1" applyAlignment="1">
      <alignment horizontal="left" vertical="center" wrapText="1"/>
    </xf>
    <xf numFmtId="16" fontId="0" fillId="0" borderId="1" xfId="0" applyNumberFormat="1" applyBorder="1"/>
    <xf numFmtId="0" fontId="0" fillId="2" borderId="1" xfId="0" applyFill="1" applyBorder="1" applyAlignment="1">
      <alignment horizontal="center" vertical="center"/>
    </xf>
    <xf numFmtId="0" fontId="0" fillId="2" borderId="1" xfId="0" applyFont="1" applyFill="1" applyBorder="1" applyAlignment="1">
      <alignment horizontal="center" vertical="center"/>
    </xf>
    <xf numFmtId="0" fontId="0" fillId="3" borderId="1" xfId="0" applyFill="1" applyBorder="1" applyAlignment="1">
      <alignment horizontal="center" vertical="center"/>
    </xf>
    <xf numFmtId="16" fontId="0" fillId="0" borderId="1" xfId="0" applyNumberFormat="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1" xfId="0" applyBorder="1" applyAlignment="1">
      <alignment wrapText="1"/>
    </xf>
    <xf numFmtId="49" fontId="0" fillId="0" borderId="1" xfId="0" applyNumberFormat="1"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wrapText="1"/>
    </xf>
    <xf numFmtId="164" fontId="0" fillId="2" borderId="1" xfId="0" applyNumberFormat="1" applyFill="1" applyBorder="1" applyAlignment="1">
      <alignment horizontal="center" vertical="center"/>
    </xf>
    <xf numFmtId="0" fontId="0" fillId="0" borderId="1" xfId="0" applyBorder="1" applyAlignment="1">
      <alignment horizontal="center"/>
    </xf>
    <xf numFmtId="164" fontId="0" fillId="0" borderId="1" xfId="0" applyNumberFormat="1" applyBorder="1"/>
    <xf numFmtId="0" fontId="0" fillId="0" borderId="1" xfId="0" applyBorder="1" applyAlignment="1">
      <alignment horizontal="right"/>
    </xf>
    <xf numFmtId="16" fontId="0" fillId="0" borderId="1" xfId="0" applyNumberFormat="1" applyBorder="1" applyAlignment="1">
      <alignment horizontal="center"/>
    </xf>
    <xf numFmtId="0" fontId="0" fillId="0" borderId="1" xfId="0" applyBorder="1" applyAlignment="1">
      <alignment horizontal="left" vertical="top" wrapText="1"/>
    </xf>
    <xf numFmtId="0" fontId="3" fillId="2" borderId="1" xfId="0" applyFont="1" applyFill="1" applyBorder="1" applyAlignment="1">
      <alignment horizontal="center" vertical="center"/>
    </xf>
    <xf numFmtId="2" fontId="0" fillId="2" borderId="1" xfId="0" applyNumberFormat="1" applyFill="1" applyBorder="1" applyAlignment="1">
      <alignment horizontal="center" vertical="center"/>
    </xf>
    <xf numFmtId="0" fontId="0" fillId="0" borderId="1" xfId="0" applyBorder="1" applyAlignment="1">
      <alignment vertical="top" wrapText="1"/>
    </xf>
    <xf numFmtId="0" fontId="0" fillId="3" borderId="1" xfId="0" applyFill="1" applyBorder="1" applyAlignment="1">
      <alignment vertical="center"/>
    </xf>
    <xf numFmtId="0" fontId="0" fillId="2" borderId="1" xfId="0" applyFill="1" applyBorder="1" applyAlignment="1">
      <alignment horizontal="center" vertical="center" wrapText="1"/>
    </xf>
    <xf numFmtId="44" fontId="0" fillId="8" borderId="1" xfId="1" applyFont="1" applyFill="1" applyBorder="1"/>
    <xf numFmtId="0" fontId="0" fillId="8" borderId="1" xfId="0" applyFill="1" applyBorder="1"/>
    <xf numFmtId="0" fontId="0" fillId="10" borderId="0" xfId="0" applyFill="1" applyAlignment="1">
      <alignment horizontal="center"/>
    </xf>
    <xf numFmtId="0" fontId="0" fillId="10" borderId="0" xfId="0" applyFill="1"/>
    <xf numFmtId="0" fontId="0" fillId="0" borderId="0" xfId="0" applyFill="1" applyAlignment="1">
      <alignment vertical="center"/>
    </xf>
    <xf numFmtId="0" fontId="0" fillId="3" borderId="0" xfId="0" applyFill="1" applyAlignment="1">
      <alignment vertical="center"/>
    </xf>
    <xf numFmtId="0" fontId="0" fillId="3" borderId="0" xfId="0" applyFill="1" applyAlignment="1"/>
    <xf numFmtId="0" fontId="0" fillId="11" borderId="0" xfId="0" applyFill="1" applyAlignment="1"/>
    <xf numFmtId="0" fontId="0" fillId="11" borderId="0" xfId="0" applyFill="1"/>
    <xf numFmtId="0" fontId="0" fillId="11" borderId="0" xfId="0" applyFill="1" applyAlignment="1">
      <alignment vertical="center"/>
    </xf>
    <xf numFmtId="0" fontId="0" fillId="3" borderId="1" xfId="0" applyFill="1" applyBorder="1" applyAlignment="1">
      <alignment horizontal="center" vertical="center"/>
    </xf>
    <xf numFmtId="0" fontId="1" fillId="4" borderId="1" xfId="0" applyFont="1" applyFill="1" applyBorder="1" applyAlignment="1">
      <alignment horizontal="center"/>
    </xf>
    <xf numFmtId="0" fontId="0" fillId="3" borderId="1" xfId="0" applyFill="1" applyBorder="1" applyAlignment="1">
      <alignment horizontal="center"/>
    </xf>
    <xf numFmtId="0" fontId="1" fillId="4" borderId="1" xfId="0" applyFont="1" applyFill="1" applyBorder="1" applyAlignment="1">
      <alignment horizontal="center" vertical="center"/>
    </xf>
    <xf numFmtId="0" fontId="0" fillId="0" borderId="0" xfId="0" applyAlignment="1">
      <alignment horizontal="center" wrapText="1"/>
    </xf>
    <xf numFmtId="0" fontId="1" fillId="5" borderId="0" xfId="0" applyFont="1" applyFill="1" applyAlignment="1">
      <alignment horizontal="center" vertical="center" wrapText="1"/>
    </xf>
    <xf numFmtId="0" fontId="0" fillId="2" borderId="0" xfId="0" applyFill="1" applyAlignment="1">
      <alignment horizontal="left" vertical="top" wrapText="1"/>
    </xf>
    <xf numFmtId="0" fontId="10" fillId="0" borderId="1" xfId="0" applyFont="1" applyBorder="1" applyAlignment="1">
      <alignment horizontal="center"/>
    </xf>
    <xf numFmtId="0" fontId="7" fillId="6" borderId="1" xfId="0" applyFont="1" applyFill="1" applyBorder="1" applyAlignment="1">
      <alignment horizontal="center"/>
    </xf>
    <xf numFmtId="0" fontId="0" fillId="0" borderId="1" xfId="0" applyBorder="1" applyAlignment="1">
      <alignment horizontal="left"/>
    </xf>
    <xf numFmtId="0" fontId="0" fillId="10" borderId="0" xfId="0" applyFill="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4" fillId="4" borderId="0" xfId="0" applyFont="1" applyFill="1" applyAlignment="1">
      <alignment horizontal="center"/>
    </xf>
    <xf numFmtId="0" fontId="0" fillId="9" borderId="0" xfId="0" applyFill="1" applyAlignment="1">
      <alignment horizontal="center"/>
    </xf>
    <xf numFmtId="0" fontId="0" fillId="9" borderId="0" xfId="0" applyFill="1" applyAlignment="1">
      <alignment horizontal="center" vertical="center"/>
    </xf>
    <xf numFmtId="0" fontId="0" fillId="2" borderId="0" xfId="0" applyFill="1" applyAlignment="1">
      <alignment vertical="top" wrapText="1"/>
    </xf>
    <xf numFmtId="44" fontId="0" fillId="2" borderId="0" xfId="0" applyNumberFormat="1" applyFill="1" applyAlignment="1">
      <alignment horizontal="left" vertical="top" wrapText="1"/>
    </xf>
    <xf numFmtId="0" fontId="0" fillId="3" borderId="0" xfId="0" applyFill="1" applyAlignment="1">
      <alignment horizontal="center" vertical="center"/>
    </xf>
    <xf numFmtId="0" fontId="5" fillId="2" borderId="0" xfId="0" applyFont="1" applyFill="1" applyAlignment="1">
      <alignment horizontal="center"/>
    </xf>
    <xf numFmtId="0" fontId="0" fillId="3" borderId="0" xfId="0" applyFill="1" applyAlignment="1">
      <alignment horizontal="center" wrapText="1"/>
    </xf>
    <xf numFmtId="0" fontId="9" fillId="4" borderId="0" xfId="0" applyFont="1" applyFill="1" applyAlignment="1">
      <alignment horizontal="center"/>
    </xf>
    <xf numFmtId="0" fontId="0" fillId="0" borderId="0" xfId="0" applyAlignment="1">
      <alignment horizontal="center"/>
    </xf>
    <xf numFmtId="0" fontId="11" fillId="0" borderId="1" xfId="0" applyFont="1" applyFill="1" applyBorder="1" applyAlignment="1">
      <alignment horizontal="center"/>
    </xf>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656984785615492E-2"/>
          <c:y val="3.5903708156566898E-2"/>
          <c:w val="0.83130743511832805"/>
          <c:h val="0.88837776149503345"/>
        </c:manualLayout>
      </c:layout>
      <c:barChart>
        <c:barDir val="bar"/>
        <c:grouping val="stacked"/>
        <c:varyColors val="0"/>
        <c:ser>
          <c:idx val="0"/>
          <c:order val="0"/>
          <c:tx>
            <c:strRef>
              <c:f>'Diagrama de Gant'!$B$3</c:f>
              <c:strCache>
                <c:ptCount val="1"/>
                <c:pt idx="0">
                  <c:v>Inicio</c:v>
                </c:pt>
              </c:strCache>
            </c:strRef>
          </c:tx>
          <c:spPr>
            <a:noFill/>
            <a:ln>
              <a:noFill/>
            </a:ln>
            <a:effectLst/>
          </c:spPr>
          <c:invertIfNegative val="0"/>
          <c:cat>
            <c:strRef>
              <c:f>'Diagrama de Gant'!$A$4:$A$18</c:f>
              <c:strCache>
                <c:ptCount val="15"/>
                <c:pt idx="0">
                  <c:v>Gestoria de permisos</c:v>
                </c:pt>
                <c:pt idx="1">
                  <c:v>Preliminar</c:v>
                </c:pt>
                <c:pt idx="2">
                  <c:v>Cimentacion</c:v>
                </c:pt>
                <c:pt idx="3">
                  <c:v>Drenaje </c:v>
                </c:pt>
                <c:pt idx="4">
                  <c:v>Estructura</c:v>
                </c:pt>
                <c:pt idx="5">
                  <c:v>Muros, dalas y castillos </c:v>
                </c:pt>
                <c:pt idx="6">
                  <c:v>Pisos </c:v>
                </c:pt>
                <c:pt idx="7">
                  <c:v>Colocaciones </c:v>
                </c:pt>
                <c:pt idx="8">
                  <c:v>Azoteas</c:v>
                </c:pt>
                <c:pt idx="9">
                  <c:v>Ins. Hidrosanitarias </c:v>
                </c:pt>
                <c:pt idx="10">
                  <c:v>Ins. Electricas </c:v>
                </c:pt>
                <c:pt idx="11">
                  <c:v>Carpinteria y cerrajeria </c:v>
                </c:pt>
                <c:pt idx="12">
                  <c:v>Pintura </c:v>
                </c:pt>
                <c:pt idx="13">
                  <c:v>Jardineria </c:v>
                </c:pt>
                <c:pt idx="14">
                  <c:v>Limpieza final </c:v>
                </c:pt>
              </c:strCache>
            </c:strRef>
          </c:cat>
          <c:val>
            <c:numRef>
              <c:f>'Diagrama de Gant'!$B$4:$B$18</c:f>
              <c:numCache>
                <c:formatCode>d\-mmm\-yy</c:formatCode>
                <c:ptCount val="15"/>
                <c:pt idx="0">
                  <c:v>42198</c:v>
                </c:pt>
                <c:pt idx="1">
                  <c:v>42212</c:v>
                </c:pt>
                <c:pt idx="2">
                  <c:v>42219</c:v>
                </c:pt>
                <c:pt idx="3">
                  <c:v>42212</c:v>
                </c:pt>
                <c:pt idx="4">
                  <c:v>42297</c:v>
                </c:pt>
                <c:pt idx="5">
                  <c:v>42257</c:v>
                </c:pt>
                <c:pt idx="6">
                  <c:v>42300</c:v>
                </c:pt>
                <c:pt idx="7">
                  <c:v>42313</c:v>
                </c:pt>
                <c:pt idx="8">
                  <c:v>42313</c:v>
                </c:pt>
                <c:pt idx="9">
                  <c:v>42300</c:v>
                </c:pt>
                <c:pt idx="10">
                  <c:v>42300</c:v>
                </c:pt>
                <c:pt idx="11">
                  <c:v>42320</c:v>
                </c:pt>
                <c:pt idx="12">
                  <c:v>42320</c:v>
                </c:pt>
                <c:pt idx="13">
                  <c:v>42320</c:v>
                </c:pt>
                <c:pt idx="14">
                  <c:v>42322</c:v>
                </c:pt>
              </c:numCache>
            </c:numRef>
          </c:val>
          <c:extLst>
            <c:ext xmlns:c16="http://schemas.microsoft.com/office/drawing/2014/chart" uri="{C3380CC4-5D6E-409C-BE32-E72D297353CC}">
              <c16:uniqueId val="{00000000-9DBB-4DAD-A821-57E938A2CA0C}"/>
            </c:ext>
          </c:extLst>
        </c:ser>
        <c:ser>
          <c:idx val="1"/>
          <c:order val="1"/>
          <c:tx>
            <c:strRef>
              <c:f>'Diagrama de Gant'!$C$3</c:f>
              <c:strCache>
                <c:ptCount val="1"/>
                <c:pt idx="0">
                  <c:v>Dias</c:v>
                </c:pt>
              </c:strCache>
            </c:strRef>
          </c:tx>
          <c:spPr>
            <a:solidFill>
              <a:schemeClr val="accent2"/>
            </a:solidFill>
            <a:ln>
              <a:noFill/>
            </a:ln>
            <a:effectLst/>
          </c:spPr>
          <c:invertIfNegative val="0"/>
          <c:cat>
            <c:strRef>
              <c:f>'Diagrama de Gant'!$A$4:$A$18</c:f>
              <c:strCache>
                <c:ptCount val="15"/>
                <c:pt idx="0">
                  <c:v>Gestoria de permisos</c:v>
                </c:pt>
                <c:pt idx="1">
                  <c:v>Preliminar</c:v>
                </c:pt>
                <c:pt idx="2">
                  <c:v>Cimentacion</c:v>
                </c:pt>
                <c:pt idx="3">
                  <c:v>Drenaje </c:v>
                </c:pt>
                <c:pt idx="4">
                  <c:v>Estructura</c:v>
                </c:pt>
                <c:pt idx="5">
                  <c:v>Muros, dalas y castillos </c:v>
                </c:pt>
                <c:pt idx="6">
                  <c:v>Pisos </c:v>
                </c:pt>
                <c:pt idx="7">
                  <c:v>Colocaciones </c:v>
                </c:pt>
                <c:pt idx="8">
                  <c:v>Azoteas</c:v>
                </c:pt>
                <c:pt idx="9">
                  <c:v>Ins. Hidrosanitarias </c:v>
                </c:pt>
                <c:pt idx="10">
                  <c:v>Ins. Electricas </c:v>
                </c:pt>
                <c:pt idx="11">
                  <c:v>Carpinteria y cerrajeria </c:v>
                </c:pt>
                <c:pt idx="12">
                  <c:v>Pintura </c:v>
                </c:pt>
                <c:pt idx="13">
                  <c:v>Jardineria </c:v>
                </c:pt>
                <c:pt idx="14">
                  <c:v>Limpieza final </c:v>
                </c:pt>
              </c:strCache>
            </c:strRef>
          </c:cat>
          <c:val>
            <c:numRef>
              <c:f>'Diagrama de Gant'!$C$4:$C$18</c:f>
              <c:numCache>
                <c:formatCode>General</c:formatCode>
                <c:ptCount val="15"/>
                <c:pt idx="0">
                  <c:v>14</c:v>
                </c:pt>
                <c:pt idx="1">
                  <c:v>7</c:v>
                </c:pt>
                <c:pt idx="2">
                  <c:v>38</c:v>
                </c:pt>
                <c:pt idx="3">
                  <c:v>4</c:v>
                </c:pt>
                <c:pt idx="4">
                  <c:v>15</c:v>
                </c:pt>
                <c:pt idx="5">
                  <c:v>40</c:v>
                </c:pt>
                <c:pt idx="6">
                  <c:v>13</c:v>
                </c:pt>
                <c:pt idx="7">
                  <c:v>7</c:v>
                </c:pt>
                <c:pt idx="8">
                  <c:v>2</c:v>
                </c:pt>
                <c:pt idx="9">
                  <c:v>1</c:v>
                </c:pt>
                <c:pt idx="10">
                  <c:v>6</c:v>
                </c:pt>
                <c:pt idx="11">
                  <c:v>2</c:v>
                </c:pt>
                <c:pt idx="12">
                  <c:v>3</c:v>
                </c:pt>
                <c:pt idx="13">
                  <c:v>1</c:v>
                </c:pt>
                <c:pt idx="14">
                  <c:v>2</c:v>
                </c:pt>
              </c:numCache>
            </c:numRef>
          </c:val>
          <c:extLst>
            <c:ext xmlns:c16="http://schemas.microsoft.com/office/drawing/2014/chart" uri="{C3380CC4-5D6E-409C-BE32-E72D297353CC}">
              <c16:uniqueId val="{00000001-9DBB-4DAD-A821-57E938A2CA0C}"/>
            </c:ext>
          </c:extLst>
        </c:ser>
        <c:dLbls>
          <c:showLegendKey val="0"/>
          <c:showVal val="0"/>
          <c:showCatName val="0"/>
          <c:showSerName val="0"/>
          <c:showPercent val="0"/>
          <c:showBubbleSize val="0"/>
        </c:dLbls>
        <c:gapWidth val="150"/>
        <c:overlap val="100"/>
        <c:axId val="319816768"/>
        <c:axId val="319818464"/>
      </c:barChart>
      <c:catAx>
        <c:axId val="319816768"/>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19818464"/>
        <c:crosses val="autoZero"/>
        <c:auto val="1"/>
        <c:lblAlgn val="ctr"/>
        <c:lblOffset val="100"/>
        <c:noMultiLvlLbl val="0"/>
      </c:catAx>
      <c:valAx>
        <c:axId val="319818464"/>
        <c:scaling>
          <c:orientation val="maxMin"/>
          <c:max val="42319"/>
          <c:min val="42198"/>
        </c:scaling>
        <c:delete val="0"/>
        <c:axPos val="b"/>
        <c:majorGridlines>
          <c:spPr>
            <a:ln w="9525" cap="flat" cmpd="sng" algn="ctr">
              <a:solidFill>
                <a:schemeClr val="tx1">
                  <a:lumMod val="15000"/>
                  <a:lumOff val="85000"/>
                </a:schemeClr>
              </a:solidFill>
              <a:round/>
            </a:ln>
            <a:effectLst/>
          </c:spPr>
        </c:majorGridlines>
        <c:numFmt formatCode="d\-mmm\-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1981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'Diagrama de Gant'!$B$42</c:f>
              <c:strCache>
                <c:ptCount val="1"/>
                <c:pt idx="0">
                  <c:v>Inicio</c:v>
                </c:pt>
              </c:strCache>
            </c:strRef>
          </c:tx>
          <c:spPr>
            <a:noFill/>
            <a:ln>
              <a:noFill/>
            </a:ln>
            <a:effectLst/>
          </c:spPr>
          <c:invertIfNegative val="0"/>
          <c:cat>
            <c:strRef>
              <c:f>'Diagrama de Gant'!$A$43:$A$57</c:f>
              <c:strCache>
                <c:ptCount val="15"/>
                <c:pt idx="0">
                  <c:v>Gestoria de permisos</c:v>
                </c:pt>
                <c:pt idx="1">
                  <c:v>Preliminar</c:v>
                </c:pt>
                <c:pt idx="2">
                  <c:v>Cimentacion</c:v>
                </c:pt>
                <c:pt idx="3">
                  <c:v>Drenaje </c:v>
                </c:pt>
                <c:pt idx="4">
                  <c:v>Estructura</c:v>
                </c:pt>
                <c:pt idx="5">
                  <c:v>Muros, dalas y castillos </c:v>
                </c:pt>
                <c:pt idx="6">
                  <c:v>Pisos </c:v>
                </c:pt>
                <c:pt idx="7">
                  <c:v>Colocaciones </c:v>
                </c:pt>
                <c:pt idx="8">
                  <c:v>Azoteas</c:v>
                </c:pt>
                <c:pt idx="9">
                  <c:v>Ins. Hidrosanitarias </c:v>
                </c:pt>
                <c:pt idx="10">
                  <c:v>Ins. Electricas </c:v>
                </c:pt>
                <c:pt idx="11">
                  <c:v>Carpinteria y cerrajeria </c:v>
                </c:pt>
                <c:pt idx="12">
                  <c:v>Pintura </c:v>
                </c:pt>
                <c:pt idx="13">
                  <c:v>Jardineria </c:v>
                </c:pt>
                <c:pt idx="14">
                  <c:v>Limpieza final </c:v>
                </c:pt>
              </c:strCache>
            </c:strRef>
          </c:cat>
          <c:val>
            <c:numRef>
              <c:f>'Diagrama de Gant'!$B$43:$B$57</c:f>
              <c:numCache>
                <c:formatCode>d\-mmm\-yy</c:formatCode>
                <c:ptCount val="15"/>
                <c:pt idx="0">
                  <c:v>42198</c:v>
                </c:pt>
                <c:pt idx="1">
                  <c:v>42212</c:v>
                </c:pt>
                <c:pt idx="2">
                  <c:v>42219</c:v>
                </c:pt>
                <c:pt idx="3">
                  <c:v>42257</c:v>
                </c:pt>
                <c:pt idx="4">
                  <c:v>42261</c:v>
                </c:pt>
                <c:pt idx="5">
                  <c:v>42276</c:v>
                </c:pt>
                <c:pt idx="6">
                  <c:v>42316</c:v>
                </c:pt>
                <c:pt idx="7">
                  <c:v>42329</c:v>
                </c:pt>
                <c:pt idx="8">
                  <c:v>42336</c:v>
                </c:pt>
                <c:pt idx="9">
                  <c:v>42338</c:v>
                </c:pt>
                <c:pt idx="10">
                  <c:v>42339</c:v>
                </c:pt>
                <c:pt idx="11">
                  <c:v>42345</c:v>
                </c:pt>
                <c:pt idx="12">
                  <c:v>42347</c:v>
                </c:pt>
                <c:pt idx="13">
                  <c:v>42350</c:v>
                </c:pt>
                <c:pt idx="14">
                  <c:v>42351</c:v>
                </c:pt>
              </c:numCache>
            </c:numRef>
          </c:val>
          <c:extLst>
            <c:ext xmlns:c16="http://schemas.microsoft.com/office/drawing/2014/chart" uri="{C3380CC4-5D6E-409C-BE32-E72D297353CC}">
              <c16:uniqueId val="{00000000-5CB4-4EC0-B317-23D5D913D946}"/>
            </c:ext>
          </c:extLst>
        </c:ser>
        <c:ser>
          <c:idx val="1"/>
          <c:order val="1"/>
          <c:tx>
            <c:strRef>
              <c:f>'Diagrama de Gant'!$C$42</c:f>
              <c:strCache>
                <c:ptCount val="1"/>
                <c:pt idx="0">
                  <c:v>Dias</c:v>
                </c:pt>
              </c:strCache>
            </c:strRef>
          </c:tx>
          <c:spPr>
            <a:solidFill>
              <a:schemeClr val="accent2"/>
            </a:solidFill>
            <a:ln>
              <a:noFill/>
            </a:ln>
            <a:effectLst>
              <a:outerShdw blurRad="38100" dist="50800" dir="5400000" algn="ctr" rotWithShape="0">
                <a:srgbClr val="000000">
                  <a:alpha val="38000"/>
                </a:srgbClr>
              </a:outerShdw>
            </a:effectLst>
          </c:spPr>
          <c:invertIfNegative val="0"/>
          <c:cat>
            <c:strRef>
              <c:f>'Diagrama de Gant'!$A$43:$A$57</c:f>
              <c:strCache>
                <c:ptCount val="15"/>
                <c:pt idx="0">
                  <c:v>Gestoria de permisos</c:v>
                </c:pt>
                <c:pt idx="1">
                  <c:v>Preliminar</c:v>
                </c:pt>
                <c:pt idx="2">
                  <c:v>Cimentacion</c:v>
                </c:pt>
                <c:pt idx="3">
                  <c:v>Drenaje </c:v>
                </c:pt>
                <c:pt idx="4">
                  <c:v>Estructura</c:v>
                </c:pt>
                <c:pt idx="5">
                  <c:v>Muros, dalas y castillos </c:v>
                </c:pt>
                <c:pt idx="6">
                  <c:v>Pisos </c:v>
                </c:pt>
                <c:pt idx="7">
                  <c:v>Colocaciones </c:v>
                </c:pt>
                <c:pt idx="8">
                  <c:v>Azoteas</c:v>
                </c:pt>
                <c:pt idx="9">
                  <c:v>Ins. Hidrosanitarias </c:v>
                </c:pt>
                <c:pt idx="10">
                  <c:v>Ins. Electricas </c:v>
                </c:pt>
                <c:pt idx="11">
                  <c:v>Carpinteria y cerrajeria </c:v>
                </c:pt>
                <c:pt idx="12">
                  <c:v>Pintura </c:v>
                </c:pt>
                <c:pt idx="13">
                  <c:v>Jardineria </c:v>
                </c:pt>
                <c:pt idx="14">
                  <c:v>Limpieza final </c:v>
                </c:pt>
              </c:strCache>
            </c:strRef>
          </c:cat>
          <c:val>
            <c:numRef>
              <c:f>'Diagrama de Gant'!$C$43:$C$57</c:f>
              <c:numCache>
                <c:formatCode>General</c:formatCode>
                <c:ptCount val="15"/>
                <c:pt idx="0">
                  <c:v>14</c:v>
                </c:pt>
                <c:pt idx="1">
                  <c:v>7</c:v>
                </c:pt>
                <c:pt idx="2">
                  <c:v>38</c:v>
                </c:pt>
                <c:pt idx="3">
                  <c:v>4</c:v>
                </c:pt>
                <c:pt idx="4">
                  <c:v>15</c:v>
                </c:pt>
                <c:pt idx="5">
                  <c:v>40</c:v>
                </c:pt>
                <c:pt idx="6">
                  <c:v>13</c:v>
                </c:pt>
                <c:pt idx="7">
                  <c:v>7</c:v>
                </c:pt>
                <c:pt idx="8">
                  <c:v>2</c:v>
                </c:pt>
                <c:pt idx="9">
                  <c:v>1</c:v>
                </c:pt>
                <c:pt idx="10">
                  <c:v>6</c:v>
                </c:pt>
                <c:pt idx="11">
                  <c:v>2</c:v>
                </c:pt>
                <c:pt idx="12">
                  <c:v>3</c:v>
                </c:pt>
                <c:pt idx="13">
                  <c:v>1</c:v>
                </c:pt>
                <c:pt idx="14">
                  <c:v>2</c:v>
                </c:pt>
              </c:numCache>
            </c:numRef>
          </c:val>
          <c:extLst>
            <c:ext xmlns:c16="http://schemas.microsoft.com/office/drawing/2014/chart" uri="{C3380CC4-5D6E-409C-BE32-E72D297353CC}">
              <c16:uniqueId val="{00000001-5CB4-4EC0-B317-23D5D913D946}"/>
            </c:ext>
          </c:extLst>
        </c:ser>
        <c:ser>
          <c:idx val="2"/>
          <c:order val="2"/>
          <c:tx>
            <c:strRef>
              <c:f>'Diagrama de Gant'!$A$42</c:f>
              <c:strCache>
                <c:ptCount val="1"/>
                <c:pt idx="0">
                  <c:v>Actividad</c:v>
                </c:pt>
              </c:strCache>
            </c:strRef>
          </c:tx>
          <c:spPr>
            <a:solidFill>
              <a:schemeClr val="accent3"/>
            </a:solidFill>
            <a:ln>
              <a:noFill/>
            </a:ln>
            <a:effectLst/>
          </c:spPr>
          <c:invertIfNegative val="0"/>
          <c:cat>
            <c:strRef>
              <c:f>'Diagrama de Gant'!$A$43:$A$57</c:f>
              <c:strCache>
                <c:ptCount val="15"/>
                <c:pt idx="0">
                  <c:v>Gestoria de permisos</c:v>
                </c:pt>
                <c:pt idx="1">
                  <c:v>Preliminar</c:v>
                </c:pt>
                <c:pt idx="2">
                  <c:v>Cimentacion</c:v>
                </c:pt>
                <c:pt idx="3">
                  <c:v>Drenaje </c:v>
                </c:pt>
                <c:pt idx="4">
                  <c:v>Estructura</c:v>
                </c:pt>
                <c:pt idx="5">
                  <c:v>Muros, dalas y castillos </c:v>
                </c:pt>
                <c:pt idx="6">
                  <c:v>Pisos </c:v>
                </c:pt>
                <c:pt idx="7">
                  <c:v>Colocaciones </c:v>
                </c:pt>
                <c:pt idx="8">
                  <c:v>Azoteas</c:v>
                </c:pt>
                <c:pt idx="9">
                  <c:v>Ins. Hidrosanitarias </c:v>
                </c:pt>
                <c:pt idx="10">
                  <c:v>Ins. Electricas </c:v>
                </c:pt>
                <c:pt idx="11">
                  <c:v>Carpinteria y cerrajeria </c:v>
                </c:pt>
                <c:pt idx="12">
                  <c:v>Pintura </c:v>
                </c:pt>
                <c:pt idx="13">
                  <c:v>Jardineria </c:v>
                </c:pt>
                <c:pt idx="14">
                  <c:v>Limpieza final </c:v>
                </c:pt>
              </c:strCache>
            </c:strRef>
          </c:cat>
          <c:val>
            <c:numRef>
              <c:f>'Diagrama de Gant'!$A$43:$A$57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5CB4-4EC0-B317-23D5D913D946}"/>
            </c:ext>
          </c:extLst>
        </c:ser>
        <c:dLbls>
          <c:showLegendKey val="0"/>
          <c:showVal val="0"/>
          <c:showCatName val="0"/>
          <c:showSerName val="0"/>
          <c:showPercent val="0"/>
          <c:showBubbleSize val="0"/>
        </c:dLbls>
        <c:gapWidth val="150"/>
        <c:overlap val="100"/>
        <c:axId val="266913488"/>
        <c:axId val="266907976"/>
      </c:barChart>
      <c:catAx>
        <c:axId val="266913488"/>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66907976"/>
        <c:crosses val="autoZero"/>
        <c:auto val="1"/>
        <c:lblAlgn val="ctr"/>
        <c:lblOffset val="100"/>
        <c:noMultiLvlLbl val="0"/>
      </c:catAx>
      <c:valAx>
        <c:axId val="266907976"/>
        <c:scaling>
          <c:orientation val="maxMin"/>
        </c:scaling>
        <c:delete val="0"/>
        <c:axPos val="b"/>
        <c:majorGridlines>
          <c:spPr>
            <a:ln w="9525" cap="flat" cmpd="sng" algn="ctr">
              <a:solidFill>
                <a:schemeClr val="tx1">
                  <a:lumMod val="15000"/>
                  <a:lumOff val="85000"/>
                </a:schemeClr>
              </a:solidFill>
              <a:round/>
            </a:ln>
            <a:effectLst/>
          </c:spPr>
        </c:majorGridlines>
        <c:numFmt formatCode="d\-mmm\-yy"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669134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3" Type="http://schemas.openxmlformats.org/officeDocument/2006/relationships/image" Target="../media/image3.gif"/><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gif"/><Relationship Id="rId41" Type="http://schemas.openxmlformats.org/officeDocument/2006/relationships/image" Target="../media/image41.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gif"/><Relationship Id="rId40" Type="http://schemas.openxmlformats.org/officeDocument/2006/relationships/image" Target="../media/image40.pn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gif"/><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14</xdr:col>
      <xdr:colOff>171450</xdr:colOff>
      <xdr:row>9</xdr:row>
      <xdr:rowOff>88105</xdr:rowOff>
    </xdr:from>
    <xdr:to>
      <xdr:col>14</xdr:col>
      <xdr:colOff>1476375</xdr:colOff>
      <xdr:row>9</xdr:row>
      <xdr:rowOff>1066799</xdr:rowOff>
    </xdr:to>
    <xdr:pic>
      <xdr:nvPicPr>
        <xdr:cNvPr id="2" name="Imagen 1" descr="http://www.mexico.generadordeprecios.info/imagenes3/uja_desbroce_man_480_360_28B86678.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8700" y="2183605"/>
          <a:ext cx="1304925" cy="97869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200025</xdr:colOff>
      <xdr:row>13</xdr:row>
      <xdr:rowOff>66675</xdr:rowOff>
    </xdr:from>
    <xdr:to>
      <xdr:col>14</xdr:col>
      <xdr:colOff>1876425</xdr:colOff>
      <xdr:row>13</xdr:row>
      <xdr:rowOff>1323975</xdr:rowOff>
    </xdr:to>
    <xdr:pic>
      <xdr:nvPicPr>
        <xdr:cNvPr id="3" name="Imagen 2" descr="https://maurymetal09.files.wordpress.com/2014/04/replanteo.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3876675"/>
          <a:ext cx="1676400" cy="12573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17</xdr:row>
      <xdr:rowOff>104775</xdr:rowOff>
    </xdr:from>
    <xdr:to>
      <xdr:col>14</xdr:col>
      <xdr:colOff>1609724</xdr:colOff>
      <xdr:row>17</xdr:row>
      <xdr:rowOff>1237349</xdr:rowOff>
    </xdr:to>
    <xdr:pic>
      <xdr:nvPicPr>
        <xdr:cNvPr id="4" name="Imagen 3" descr="https://iguerrero.files.wordpress.com/2008/02/acometida-cfe_embt101mod2.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544425" y="5924550"/>
          <a:ext cx="1352549" cy="11325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382852</xdr:colOff>
      <xdr:row>18</xdr:row>
      <xdr:rowOff>251460</xdr:rowOff>
    </xdr:from>
    <xdr:to>
      <xdr:col>14</xdr:col>
      <xdr:colOff>2164079</xdr:colOff>
      <xdr:row>18</xdr:row>
      <xdr:rowOff>1242059</xdr:rowOff>
    </xdr:to>
    <xdr:pic>
      <xdr:nvPicPr>
        <xdr:cNvPr id="5" name="Imagen 4" descr="http://www.areatecnologia.com/tecnologia/imagenes/tuberias-agu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039672" y="7246620"/>
          <a:ext cx="1781227" cy="9905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419100</xdr:colOff>
      <xdr:row>21</xdr:row>
      <xdr:rowOff>115334</xdr:rowOff>
    </xdr:from>
    <xdr:to>
      <xdr:col>14</xdr:col>
      <xdr:colOff>1733550</xdr:colOff>
      <xdr:row>21</xdr:row>
      <xdr:rowOff>1885950</xdr:rowOff>
    </xdr:to>
    <xdr:pic>
      <xdr:nvPicPr>
        <xdr:cNvPr id="6" name="Imagen 5" descr="http://www.aguascalientes.gob.mx/transparencia/calidad/sop/Obras/ReportesVarios/imagen.asp?id=104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706350" y="9383159"/>
          <a:ext cx="1314450" cy="177061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130175</xdr:colOff>
      <xdr:row>38</xdr:row>
      <xdr:rowOff>266700</xdr:rowOff>
    </xdr:from>
    <xdr:to>
      <xdr:col>14</xdr:col>
      <xdr:colOff>2022475</xdr:colOff>
      <xdr:row>38</xdr:row>
      <xdr:rowOff>1685925</xdr:rowOff>
    </xdr:to>
    <xdr:pic>
      <xdr:nvPicPr>
        <xdr:cNvPr id="7" name="Imagen 6" descr="http://www.aguascalientes.gob.mx/transparencia/calidad/sop/obras/ReportesVarios/imagen.asp?id=4730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17425" y="14630400"/>
          <a:ext cx="1892300" cy="14192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180975</xdr:colOff>
      <xdr:row>55</xdr:row>
      <xdr:rowOff>200025</xdr:rowOff>
    </xdr:from>
    <xdr:to>
      <xdr:col>14</xdr:col>
      <xdr:colOff>1819275</xdr:colOff>
      <xdr:row>55</xdr:row>
      <xdr:rowOff>1559703</xdr:rowOff>
    </xdr:to>
    <xdr:pic>
      <xdr:nvPicPr>
        <xdr:cNvPr id="8" name="Imagen 7" descr="http://image.slidesharecdn.com/u3-fundaciones1-140609081102-phpapp02/95/u3-fundaciones-1-29-638.jpg?cb=1402301571"/>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294" t="16340" r="22573" b="3922"/>
        <a:stretch/>
      </xdr:blipFill>
      <xdr:spPr bwMode="auto">
        <a:xfrm>
          <a:off x="12468225" y="19631025"/>
          <a:ext cx="1638300" cy="135967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209549</xdr:colOff>
      <xdr:row>55</xdr:row>
      <xdr:rowOff>152400</xdr:rowOff>
    </xdr:from>
    <xdr:to>
      <xdr:col>15</xdr:col>
      <xdr:colOff>1209674</xdr:colOff>
      <xdr:row>55</xdr:row>
      <xdr:rowOff>1612354</xdr:rowOff>
    </xdr:to>
    <xdr:pic>
      <xdr:nvPicPr>
        <xdr:cNvPr id="9" name="Imagen 8" descr="http://4.bp.blogspot.com/_sLvJu-RhTe4/TJVBWAOM_VI/AAAAAAAAAD0/H3mHkdiZcL0/s1600/Zapata+aislada.png"/>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70707" t="1443" b="37795"/>
        <a:stretch/>
      </xdr:blipFill>
      <xdr:spPr bwMode="auto">
        <a:xfrm>
          <a:off x="14573249" y="19583400"/>
          <a:ext cx="1000125" cy="145995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104775</xdr:colOff>
      <xdr:row>73</xdr:row>
      <xdr:rowOff>209550</xdr:rowOff>
    </xdr:from>
    <xdr:to>
      <xdr:col>14</xdr:col>
      <xdr:colOff>1950902</xdr:colOff>
      <xdr:row>73</xdr:row>
      <xdr:rowOff>1590675</xdr:rowOff>
    </xdr:to>
    <xdr:pic>
      <xdr:nvPicPr>
        <xdr:cNvPr id="10" name="Imagen 9" descr="http://www.zacoalcodetorres.gob.mx/imagenes2/obras%20relizadas/construccion%20de%20red%20de%20agua%20portable%20en%20el%20fracto.%20camino%20real/relleno%20de%20cepas.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92025" y="24803100"/>
          <a:ext cx="1846127" cy="13811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161924</xdr:colOff>
      <xdr:row>92</xdr:row>
      <xdr:rowOff>85189</xdr:rowOff>
    </xdr:from>
    <xdr:to>
      <xdr:col>14</xdr:col>
      <xdr:colOff>1895473</xdr:colOff>
      <xdr:row>92</xdr:row>
      <xdr:rowOff>1600199</xdr:rowOff>
    </xdr:to>
    <xdr:pic>
      <xdr:nvPicPr>
        <xdr:cNvPr id="11" name="Imagen 10" descr="http://www.chihuahua.gob.mx/atach2/scop/uploads/foto18(7).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449174" y="30260389"/>
          <a:ext cx="1733549" cy="151501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285750</xdr:colOff>
      <xdr:row>93</xdr:row>
      <xdr:rowOff>80961</xdr:rowOff>
    </xdr:from>
    <xdr:to>
      <xdr:col>14</xdr:col>
      <xdr:colOff>1790700</xdr:colOff>
      <xdr:row>93</xdr:row>
      <xdr:rowOff>1209674</xdr:rowOff>
    </xdr:to>
    <xdr:pic>
      <xdr:nvPicPr>
        <xdr:cNvPr id="12" name="Imagen 11" descr="http://4.bp.blogspot.com/_XZwvuBiSCkI/StAQmhUPUeI/AAAAAAAAADI/g2opOOmB9BA/s320/DISTRIBUCCION+DE+TUBERIA+EN+PVC+1!2.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573000" y="31923036"/>
          <a:ext cx="1504950" cy="112871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59392</xdr:colOff>
      <xdr:row>94</xdr:row>
      <xdr:rowOff>190500</xdr:rowOff>
    </xdr:from>
    <xdr:to>
      <xdr:col>14</xdr:col>
      <xdr:colOff>2019299</xdr:colOff>
      <xdr:row>94</xdr:row>
      <xdr:rowOff>1704974</xdr:rowOff>
    </xdr:to>
    <xdr:pic>
      <xdr:nvPicPr>
        <xdr:cNvPr id="13" name="Imagen 12" descr="http://www.multicreto.com.mx/wp-content/uploads/2012/02/Reg.-sanitario.pdf.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346642" y="33347025"/>
          <a:ext cx="1959907" cy="15144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104773</xdr:colOff>
      <xdr:row>97</xdr:row>
      <xdr:rowOff>524947</xdr:rowOff>
    </xdr:from>
    <xdr:to>
      <xdr:col>14</xdr:col>
      <xdr:colOff>1984900</xdr:colOff>
      <xdr:row>97</xdr:row>
      <xdr:rowOff>1685925</xdr:rowOff>
    </xdr:to>
    <xdr:pic>
      <xdr:nvPicPr>
        <xdr:cNvPr id="14" name="Imagen 13" descr="http://2.bp.blogspot.com/_4U7rE4K7L-o/TK6L6k6nL5I/AAAAAAAAAck/O5nmqDODOYs/s400/UNO.bmp"/>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392023" y="36415147"/>
          <a:ext cx="1880127" cy="116097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161925</xdr:colOff>
      <xdr:row>98</xdr:row>
      <xdr:rowOff>485774</xdr:rowOff>
    </xdr:from>
    <xdr:to>
      <xdr:col>14</xdr:col>
      <xdr:colOff>2418810</xdr:colOff>
      <xdr:row>98</xdr:row>
      <xdr:rowOff>1524000</xdr:rowOff>
    </xdr:to>
    <xdr:pic>
      <xdr:nvPicPr>
        <xdr:cNvPr id="15" name="Imagen 14" descr="http://qmasa.co/uploads/productos/sdcepi_pasoapaso.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449175" y="38795324"/>
          <a:ext cx="2256885" cy="103822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133350</xdr:colOff>
      <xdr:row>99</xdr:row>
      <xdr:rowOff>19050</xdr:rowOff>
    </xdr:from>
    <xdr:to>
      <xdr:col>14</xdr:col>
      <xdr:colOff>2266950</xdr:colOff>
      <xdr:row>99</xdr:row>
      <xdr:rowOff>1619250</xdr:rowOff>
    </xdr:to>
    <xdr:pic>
      <xdr:nvPicPr>
        <xdr:cNvPr id="16" name="Imagen 15" descr="http://i.ytimg.com/vi/GSoAxMUsS5w/hqdefault.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420600" y="40309800"/>
          <a:ext cx="213360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228600</xdr:colOff>
      <xdr:row>103</xdr:row>
      <xdr:rowOff>214312</xdr:rowOff>
    </xdr:from>
    <xdr:to>
      <xdr:col>14</xdr:col>
      <xdr:colOff>2333625</xdr:colOff>
      <xdr:row>103</xdr:row>
      <xdr:rowOff>1793081</xdr:rowOff>
    </xdr:to>
    <xdr:pic>
      <xdr:nvPicPr>
        <xdr:cNvPr id="17" name="Imagen 16" descr="http://www.aguascalientes.gob.mx/transparencia/calidad/sop/Obras/ReportesVarios/imagen.asp?id=13084"/>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515850" y="43095862"/>
          <a:ext cx="2105025" cy="15787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142875</xdr:colOff>
      <xdr:row>138</xdr:row>
      <xdr:rowOff>150018</xdr:rowOff>
    </xdr:from>
    <xdr:to>
      <xdr:col>14</xdr:col>
      <xdr:colOff>2305049</xdr:colOff>
      <xdr:row>138</xdr:row>
      <xdr:rowOff>1771649</xdr:rowOff>
    </xdr:to>
    <xdr:pic>
      <xdr:nvPicPr>
        <xdr:cNvPr id="18" name="Imagen 17" descr="http://static.habitissimo.com.mx/photos/project/big/pretil-con-tablaroca-rh2_2121.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430125" y="51451668"/>
          <a:ext cx="2162174" cy="16216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609599</xdr:colOff>
      <xdr:row>148</xdr:row>
      <xdr:rowOff>114300</xdr:rowOff>
    </xdr:from>
    <xdr:to>
      <xdr:col>14</xdr:col>
      <xdr:colOff>1781174</xdr:colOff>
      <xdr:row>148</xdr:row>
      <xdr:rowOff>1276350</xdr:rowOff>
    </xdr:to>
    <xdr:pic>
      <xdr:nvPicPr>
        <xdr:cNvPr id="19" name="Imagen 18" descr="http://www.cargo-lift.com.mx/images/castillosmedidas.jpg"/>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33423" t="12169" r="33153"/>
        <a:stretch/>
      </xdr:blipFill>
      <xdr:spPr bwMode="auto">
        <a:xfrm>
          <a:off x="13266419" y="53903880"/>
          <a:ext cx="1171575" cy="1162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219075</xdr:colOff>
      <xdr:row>148</xdr:row>
      <xdr:rowOff>314325</xdr:rowOff>
    </xdr:from>
    <xdr:to>
      <xdr:col>15</xdr:col>
      <xdr:colOff>1257300</xdr:colOff>
      <xdr:row>148</xdr:row>
      <xdr:rowOff>1276350</xdr:rowOff>
    </xdr:to>
    <xdr:pic>
      <xdr:nvPicPr>
        <xdr:cNvPr id="20" name="Imagen 19" descr="http://www.harmak.mx/images/stories/virtuemart/product/15x15-4-(1)4.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5049500" y="55445025"/>
          <a:ext cx="1038225" cy="10382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590548</xdr:colOff>
      <xdr:row>177</xdr:row>
      <xdr:rowOff>108838</xdr:rowOff>
    </xdr:from>
    <xdr:to>
      <xdr:col>14</xdr:col>
      <xdr:colOff>2266949</xdr:colOff>
      <xdr:row>177</xdr:row>
      <xdr:rowOff>1461135</xdr:rowOff>
    </xdr:to>
    <xdr:pic>
      <xdr:nvPicPr>
        <xdr:cNvPr id="21" name="Imagen 20" descr="http://images.slideplayer.es/3/1078007/slides/slide_42.jpg"/>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69758" t="30107" b="33333"/>
        <a:stretch/>
      </xdr:blipFill>
      <xdr:spPr bwMode="auto">
        <a:xfrm>
          <a:off x="12877798" y="62288038"/>
          <a:ext cx="1676401" cy="151993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65134</xdr:colOff>
      <xdr:row>183</xdr:row>
      <xdr:rowOff>276225</xdr:rowOff>
    </xdr:from>
    <xdr:to>
      <xdr:col>14</xdr:col>
      <xdr:colOff>2394860</xdr:colOff>
      <xdr:row>183</xdr:row>
      <xdr:rowOff>1209675</xdr:rowOff>
    </xdr:to>
    <xdr:pic>
      <xdr:nvPicPr>
        <xdr:cNvPr id="22" name="Imagen 21" descr="http://www.conocimientosweb.net/descargar/wp-content/uploads/2013/06/Dalas-cadenas-y-cerramientos.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352384" y="65122425"/>
          <a:ext cx="2329726"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104775</xdr:colOff>
      <xdr:row>219</xdr:row>
      <xdr:rowOff>127620</xdr:rowOff>
    </xdr:from>
    <xdr:to>
      <xdr:col>14</xdr:col>
      <xdr:colOff>2453540</xdr:colOff>
      <xdr:row>219</xdr:row>
      <xdr:rowOff>1333499</xdr:rowOff>
    </xdr:to>
    <xdr:pic>
      <xdr:nvPicPr>
        <xdr:cNvPr id="23" name="Imagen 22" descr="http://matligeroszac.com.mx/wp-content/uploads/2014/10/Acero-de-Refuerzo.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392025" y="74508345"/>
          <a:ext cx="2348765" cy="120587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220</xdr:row>
      <xdr:rowOff>76199</xdr:rowOff>
    </xdr:from>
    <xdr:to>
      <xdr:col>14</xdr:col>
      <xdr:colOff>2124075</xdr:colOff>
      <xdr:row>220</xdr:row>
      <xdr:rowOff>1476374</xdr:rowOff>
    </xdr:to>
    <xdr:pic>
      <xdr:nvPicPr>
        <xdr:cNvPr id="24" name="Imagen 23" descr="http://i.anunciosya.com.mx/i-a/jrn2-3.jpe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544425" y="75999974"/>
          <a:ext cx="1866900" cy="14001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399476</xdr:colOff>
      <xdr:row>221</xdr:row>
      <xdr:rowOff>133349</xdr:rowOff>
    </xdr:from>
    <xdr:to>
      <xdr:col>14</xdr:col>
      <xdr:colOff>2431955</xdr:colOff>
      <xdr:row>221</xdr:row>
      <xdr:rowOff>1362075</xdr:rowOff>
    </xdr:to>
    <xdr:pic>
      <xdr:nvPicPr>
        <xdr:cNvPr id="25" name="Imagen 24" descr="http://www.cyfoc.com/imagenes/azulejo_2.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686726" y="77609699"/>
          <a:ext cx="2032479" cy="122872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200024</xdr:colOff>
      <xdr:row>223</xdr:row>
      <xdr:rowOff>143905</xdr:rowOff>
    </xdr:from>
    <xdr:to>
      <xdr:col>14</xdr:col>
      <xdr:colOff>2400299</xdr:colOff>
      <xdr:row>223</xdr:row>
      <xdr:rowOff>1793009</xdr:rowOff>
    </xdr:to>
    <xdr:pic>
      <xdr:nvPicPr>
        <xdr:cNvPr id="26" name="Imagen 25" descr="http://www.aguascalientes.gob.mx/transparencia/calidad/sop/Obras/ReportesVarios/imagen.asp?id=1749"/>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487274" y="80553955"/>
          <a:ext cx="2200275" cy="164910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790575</xdr:colOff>
      <xdr:row>222</xdr:row>
      <xdr:rowOff>50800</xdr:rowOff>
    </xdr:from>
    <xdr:to>
      <xdr:col>14</xdr:col>
      <xdr:colOff>1838325</xdr:colOff>
      <xdr:row>222</xdr:row>
      <xdr:rowOff>1447800</xdr:rowOff>
    </xdr:to>
    <xdr:pic>
      <xdr:nvPicPr>
        <xdr:cNvPr id="27" name="Imagen 26" descr="http://amaster.info/anuncios/sph.php?id=17655958&amp;wd=150&amp;np=1"/>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077825" y="78984475"/>
          <a:ext cx="1047750" cy="1397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895350</xdr:colOff>
      <xdr:row>226</xdr:row>
      <xdr:rowOff>53803</xdr:rowOff>
    </xdr:from>
    <xdr:to>
      <xdr:col>14</xdr:col>
      <xdr:colOff>1895475</xdr:colOff>
      <xdr:row>226</xdr:row>
      <xdr:rowOff>1495424</xdr:rowOff>
    </xdr:to>
    <xdr:pic>
      <xdr:nvPicPr>
        <xdr:cNvPr id="28" name="Imagen 27" descr="http://www.bermar-ventanas.com/archivos/galerias/montaje-integral/montaje-integral-4.jpg"/>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3182600" y="82892728"/>
          <a:ext cx="1000125" cy="14416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285750</xdr:colOff>
      <xdr:row>227</xdr:row>
      <xdr:rowOff>68532</xdr:rowOff>
    </xdr:from>
    <xdr:to>
      <xdr:col>14</xdr:col>
      <xdr:colOff>2171700</xdr:colOff>
      <xdr:row>227</xdr:row>
      <xdr:rowOff>1320615</xdr:rowOff>
    </xdr:to>
    <xdr:pic>
      <xdr:nvPicPr>
        <xdr:cNvPr id="29" name="Imagen 28" descr="http://www.ventanasmadridarian.com/imagenes/instalacion_ventanas.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573000" y="84450507"/>
          <a:ext cx="1885950" cy="12520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95250</xdr:colOff>
      <xdr:row>228</xdr:row>
      <xdr:rowOff>228600</xdr:rowOff>
    </xdr:from>
    <xdr:to>
      <xdr:col>14</xdr:col>
      <xdr:colOff>2378276</xdr:colOff>
      <xdr:row>228</xdr:row>
      <xdr:rowOff>1771650</xdr:rowOff>
    </xdr:to>
    <xdr:pic>
      <xdr:nvPicPr>
        <xdr:cNvPr id="30" name="Imagen 29" descr="http://1.bp.blogspot.com/_FJZh1gy3MuM/TR-J36BebZI/AAAAAAAAAvg/8HD0Bi-4O6M/s1600/26.gif"/>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382500" y="85991700"/>
          <a:ext cx="2283026" cy="1543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471880</xdr:colOff>
      <xdr:row>229</xdr:row>
      <xdr:rowOff>190500</xdr:rowOff>
    </xdr:from>
    <xdr:to>
      <xdr:col>14</xdr:col>
      <xdr:colOff>2190750</xdr:colOff>
      <xdr:row>229</xdr:row>
      <xdr:rowOff>1752600</xdr:rowOff>
    </xdr:to>
    <xdr:pic>
      <xdr:nvPicPr>
        <xdr:cNvPr id="31" name="Imagen 30" descr="http://2.bp.blogspot.com/_FJZh1gy3MuM/TR-JusNJQAI/AAAAAAAAAvc/pknV5-BGLeM/s1600/25.gif"/>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759130" y="87839550"/>
          <a:ext cx="1718870" cy="15621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238124</xdr:colOff>
      <xdr:row>230</xdr:row>
      <xdr:rowOff>433880</xdr:rowOff>
    </xdr:from>
    <xdr:to>
      <xdr:col>14</xdr:col>
      <xdr:colOff>2362199</xdr:colOff>
      <xdr:row>230</xdr:row>
      <xdr:rowOff>1238250</xdr:rowOff>
    </xdr:to>
    <xdr:pic>
      <xdr:nvPicPr>
        <xdr:cNvPr id="32" name="Imagen 31" descr="http://recursostic.educacion.es/secundaria/edad/4esotecnologia/quincena7/animaciones_imagenes/cocinab.jp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2525374" y="89845055"/>
          <a:ext cx="2124075" cy="8043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238124</xdr:colOff>
      <xdr:row>231</xdr:row>
      <xdr:rowOff>159828</xdr:rowOff>
    </xdr:from>
    <xdr:to>
      <xdr:col>14</xdr:col>
      <xdr:colOff>2411590</xdr:colOff>
      <xdr:row>231</xdr:row>
      <xdr:rowOff>1333500</xdr:rowOff>
    </xdr:to>
    <xdr:pic>
      <xdr:nvPicPr>
        <xdr:cNvPr id="33" name="Imagen 32" descr="http://mlm-s2-p.mlstatic.com/calentador-de-paso-16-litros-baja-presion-envio-a-todo-mx-7911-MLM5300876750_102013-F.jp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525374" y="91237878"/>
          <a:ext cx="2173466" cy="117367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533399</xdr:colOff>
      <xdr:row>232</xdr:row>
      <xdr:rowOff>160952</xdr:rowOff>
    </xdr:from>
    <xdr:to>
      <xdr:col>14</xdr:col>
      <xdr:colOff>2171698</xdr:colOff>
      <xdr:row>232</xdr:row>
      <xdr:rowOff>1543049</xdr:rowOff>
    </xdr:to>
    <xdr:pic>
      <xdr:nvPicPr>
        <xdr:cNvPr id="34" name="Imagen 33" descr="http://html.rincondelvago.com/000783266.png"/>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2820649" y="92763002"/>
          <a:ext cx="1638299" cy="138209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266699</xdr:colOff>
      <xdr:row>235</xdr:row>
      <xdr:rowOff>154780</xdr:rowOff>
    </xdr:from>
    <xdr:to>
      <xdr:col>14</xdr:col>
      <xdr:colOff>2397124</xdr:colOff>
      <xdr:row>235</xdr:row>
      <xdr:rowOff>1645919</xdr:rowOff>
    </xdr:to>
    <xdr:pic>
      <xdr:nvPicPr>
        <xdr:cNvPr id="35" name="Imagen 34" descr="http://img.clasf.mx/2014/08/14/Instalacin-de-impermeabilizante-prefabricado-20140814041954.jpg"/>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2553949" y="94957105"/>
          <a:ext cx="2130425" cy="159781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466725</xdr:colOff>
      <xdr:row>242</xdr:row>
      <xdr:rowOff>85725</xdr:rowOff>
    </xdr:from>
    <xdr:to>
      <xdr:col>14</xdr:col>
      <xdr:colOff>2066925</xdr:colOff>
      <xdr:row>243</xdr:row>
      <xdr:rowOff>1046</xdr:rowOff>
    </xdr:to>
    <xdr:pic>
      <xdr:nvPicPr>
        <xdr:cNvPr id="36" name="Imagen 35" descr="http://repositorio.sena.edu.co/sitios/instalaciones_hidraulicas_sanitarias_desague_banera/volumenes/mezcladormonocontrol/imagenes/imagenes_contenido/monocontrol/proceso1.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753975" y="98126550"/>
          <a:ext cx="1600200" cy="21937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152401</xdr:colOff>
      <xdr:row>243</xdr:row>
      <xdr:rowOff>533400</xdr:rowOff>
    </xdr:from>
    <xdr:to>
      <xdr:col>14</xdr:col>
      <xdr:colOff>2389767</xdr:colOff>
      <xdr:row>243</xdr:row>
      <xdr:rowOff>1733550</xdr:rowOff>
    </xdr:to>
    <xdr:pic>
      <xdr:nvPicPr>
        <xdr:cNvPr id="37" name="Imagen 36" descr="http://www.dof.gob.mx/imagenes_diarios/2012/02/17/MAT/semarnat11_Cimg_50927.png"/>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2439651" y="101050725"/>
          <a:ext cx="2237366" cy="12001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228600</xdr:colOff>
      <xdr:row>244</xdr:row>
      <xdr:rowOff>490171</xdr:rowOff>
    </xdr:from>
    <xdr:to>
      <xdr:col>14</xdr:col>
      <xdr:colOff>2333625</xdr:colOff>
      <xdr:row>244</xdr:row>
      <xdr:rowOff>2165257</xdr:rowOff>
    </xdr:to>
    <xdr:pic>
      <xdr:nvPicPr>
        <xdr:cNvPr id="38" name="Imagen 37" descr="http://electrainst.com/blog/wp-content/uploads/2013/02/esquema-osmosis.gif"/>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515850" y="103293496"/>
          <a:ext cx="2105025" cy="167508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466724</xdr:colOff>
      <xdr:row>245</xdr:row>
      <xdr:rowOff>165791</xdr:rowOff>
    </xdr:from>
    <xdr:to>
      <xdr:col>14</xdr:col>
      <xdr:colOff>2266949</xdr:colOff>
      <xdr:row>245</xdr:row>
      <xdr:rowOff>2193524</xdr:rowOff>
    </xdr:to>
    <xdr:pic>
      <xdr:nvPicPr>
        <xdr:cNvPr id="39" name="Imagen 38" descr="[408[2].jpg]"/>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2753974" y="105445616"/>
          <a:ext cx="1800225" cy="224871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219075</xdr:colOff>
      <xdr:row>246</xdr:row>
      <xdr:rowOff>675930</xdr:rowOff>
    </xdr:from>
    <xdr:to>
      <xdr:col>14</xdr:col>
      <xdr:colOff>2390774</xdr:colOff>
      <xdr:row>246</xdr:row>
      <xdr:rowOff>2099874</xdr:rowOff>
    </xdr:to>
    <xdr:pic>
      <xdr:nvPicPr>
        <xdr:cNvPr id="40" name="Imagen 39" descr="http://www.srplomero.com.mx/images/diagrama.png"/>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2506325" y="108432255"/>
          <a:ext cx="2171699" cy="142394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409576</xdr:colOff>
      <xdr:row>250</xdr:row>
      <xdr:rowOff>228600</xdr:rowOff>
    </xdr:from>
    <xdr:to>
      <xdr:col>14</xdr:col>
      <xdr:colOff>1933576</xdr:colOff>
      <xdr:row>250</xdr:row>
      <xdr:rowOff>1991383</xdr:rowOff>
    </xdr:to>
    <xdr:pic>
      <xdr:nvPicPr>
        <xdr:cNvPr id="41" name="Imagen 40" descr="http://iguerrero.files.wordpress.com/2007/07/apagadorycontacto75.png?w=217&amp;h=251"/>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696826" y="113318925"/>
          <a:ext cx="1524000" cy="17627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285750</xdr:colOff>
      <xdr:row>251</xdr:row>
      <xdr:rowOff>266700</xdr:rowOff>
    </xdr:from>
    <xdr:to>
      <xdr:col>14</xdr:col>
      <xdr:colOff>2295525</xdr:colOff>
      <xdr:row>251</xdr:row>
      <xdr:rowOff>2037370</xdr:rowOff>
    </xdr:to>
    <xdr:pic>
      <xdr:nvPicPr>
        <xdr:cNvPr id="42" name="Imagen 41" descr="https://iguerrero.files.wordpress.com/2008/07/2focos2apagadores1contacto.png?w=510"/>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573000" y="115557300"/>
          <a:ext cx="2009775" cy="17706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828675</xdr:colOff>
      <xdr:row>252</xdr:row>
      <xdr:rowOff>66675</xdr:rowOff>
    </xdr:from>
    <xdr:to>
      <xdr:col>14</xdr:col>
      <xdr:colOff>2200275</xdr:colOff>
      <xdr:row>252</xdr:row>
      <xdr:rowOff>1613840</xdr:rowOff>
    </xdr:to>
    <xdr:pic>
      <xdr:nvPicPr>
        <xdr:cNvPr id="43" name="Imagen 42" descr="http://civilgeeks.com/wp-content/uploads/2010/05/Conexi%C3%B3n-de-una-l%C3%A1mpara-incandescente-controlada-por-dos-apagadores-de-escalera-con-tomas-de-corriente-en-las-cajas.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115925" y="117605175"/>
          <a:ext cx="1371600" cy="15471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704849</xdr:colOff>
      <xdr:row>253</xdr:row>
      <xdr:rowOff>141242</xdr:rowOff>
    </xdr:from>
    <xdr:to>
      <xdr:col>14</xdr:col>
      <xdr:colOff>2009774</xdr:colOff>
      <xdr:row>254</xdr:row>
      <xdr:rowOff>0</xdr:rowOff>
    </xdr:to>
    <xdr:pic>
      <xdr:nvPicPr>
        <xdr:cNvPr id="45" name="Imagen 44" descr="http://imagenes.mailxmail.com/cursos/imagenes/3/0/red-instalaciones-de-enlace-tipos-primera-parte_21703_9_1.jpg"/>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2992099" y="119394242"/>
          <a:ext cx="1304925" cy="123035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142874</xdr:colOff>
      <xdr:row>256</xdr:row>
      <xdr:rowOff>380052</xdr:rowOff>
    </xdr:from>
    <xdr:to>
      <xdr:col>14</xdr:col>
      <xdr:colOff>2421469</xdr:colOff>
      <xdr:row>256</xdr:row>
      <xdr:rowOff>1181099</xdr:rowOff>
    </xdr:to>
    <xdr:pic>
      <xdr:nvPicPr>
        <xdr:cNvPr id="46" name="Imagen 45" descr="http://construmax.com.ve/wp-content/uploads/2013/05/puerta.png"/>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2430124" y="121728552"/>
          <a:ext cx="2278595" cy="80104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457199</xdr:colOff>
      <xdr:row>257</xdr:row>
      <xdr:rowOff>95250</xdr:rowOff>
    </xdr:from>
    <xdr:to>
      <xdr:col>14</xdr:col>
      <xdr:colOff>2085974</xdr:colOff>
      <xdr:row>257</xdr:row>
      <xdr:rowOff>2266950</xdr:rowOff>
    </xdr:to>
    <xdr:pic>
      <xdr:nvPicPr>
        <xdr:cNvPr id="47" name="Imagen 46" descr="http://i.ebayimg.com/00/s/ODAwWDYwMA==/z/o2wAAOSwrklVbDGY/$_20.JPG"/>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744449" y="122967750"/>
          <a:ext cx="1628775" cy="21717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238125</xdr:colOff>
      <xdr:row>262</xdr:row>
      <xdr:rowOff>190500</xdr:rowOff>
    </xdr:from>
    <xdr:to>
      <xdr:col>14</xdr:col>
      <xdr:colOff>2476500</xdr:colOff>
      <xdr:row>262</xdr:row>
      <xdr:rowOff>1714500</xdr:rowOff>
    </xdr:to>
    <xdr:pic>
      <xdr:nvPicPr>
        <xdr:cNvPr id="48" name="Imagen 47" descr="http://www.comex.com.mx/content/Comex/Html/Images/comex_selladores_sellador_entintable.jp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525375" y="127282575"/>
          <a:ext cx="2238375" cy="1524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400050</xdr:colOff>
      <xdr:row>263</xdr:row>
      <xdr:rowOff>161925</xdr:rowOff>
    </xdr:from>
    <xdr:to>
      <xdr:col>14</xdr:col>
      <xdr:colOff>2292760</xdr:colOff>
      <xdr:row>263</xdr:row>
      <xdr:rowOff>1419225</xdr:rowOff>
    </xdr:to>
    <xdr:pic>
      <xdr:nvPicPr>
        <xdr:cNvPr id="49" name="Imagen 48" descr="http://i.mkt.lu/cont/54511/280/240/pintura-vinilica.jp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687300" y="129320925"/>
          <a:ext cx="1892710" cy="12573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190500</xdr:colOff>
      <xdr:row>269</xdr:row>
      <xdr:rowOff>200025</xdr:rowOff>
    </xdr:from>
    <xdr:to>
      <xdr:col>14</xdr:col>
      <xdr:colOff>2490421</xdr:colOff>
      <xdr:row>269</xdr:row>
      <xdr:rowOff>1590675</xdr:rowOff>
    </xdr:to>
    <xdr:pic>
      <xdr:nvPicPr>
        <xdr:cNvPr id="50" name="Imagen 49" descr="http://www.despuesdeobra.com.ar/images/limpieza-obra-refaccion.jpg"/>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477750" y="133597650"/>
          <a:ext cx="2299921" cy="13906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140283</xdr:colOff>
      <xdr:row>266</xdr:row>
      <xdr:rowOff>247650</xdr:rowOff>
    </xdr:from>
    <xdr:to>
      <xdr:col>14</xdr:col>
      <xdr:colOff>2343149</xdr:colOff>
      <xdr:row>266</xdr:row>
      <xdr:rowOff>1714500</xdr:rowOff>
    </xdr:to>
    <xdr:pic>
      <xdr:nvPicPr>
        <xdr:cNvPr id="51" name="Imagen 50" descr="http://img.jardineriaon.com/wp-content/uploads/2012/06/127.jpeg"/>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427533" y="132121275"/>
          <a:ext cx="2202866" cy="14668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114300</xdr:colOff>
      <xdr:row>2</xdr:row>
      <xdr:rowOff>152400</xdr:rowOff>
    </xdr:from>
    <xdr:to>
      <xdr:col>4</xdr:col>
      <xdr:colOff>38100</xdr:colOff>
      <xdr:row>6</xdr:row>
      <xdr:rowOff>133350</xdr:rowOff>
    </xdr:to>
    <xdr:cxnSp macro="">
      <xdr:nvCxnSpPr>
        <xdr:cNvPr id="2" name="Conector recto de flecha 1"/>
        <xdr:cNvCxnSpPr/>
      </xdr:nvCxnSpPr>
      <xdr:spPr>
        <a:xfrm flipV="1">
          <a:off x="1028700" y="533400"/>
          <a:ext cx="68580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xdr:row>
      <xdr:rowOff>152400</xdr:rowOff>
    </xdr:from>
    <xdr:to>
      <xdr:col>12</xdr:col>
      <xdr:colOff>9525</xdr:colOff>
      <xdr:row>6</xdr:row>
      <xdr:rowOff>133350</xdr:rowOff>
    </xdr:to>
    <xdr:cxnSp macro="">
      <xdr:nvCxnSpPr>
        <xdr:cNvPr id="3" name="Conector recto de flecha 2"/>
        <xdr:cNvCxnSpPr/>
      </xdr:nvCxnSpPr>
      <xdr:spPr>
        <a:xfrm flipV="1">
          <a:off x="3705225" y="533400"/>
          <a:ext cx="68580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152400</xdr:colOff>
      <xdr:row>2</xdr:row>
      <xdr:rowOff>171450</xdr:rowOff>
    </xdr:from>
    <xdr:to>
      <xdr:col>16</xdr:col>
      <xdr:colOff>76200</xdr:colOff>
      <xdr:row>6</xdr:row>
      <xdr:rowOff>152400</xdr:rowOff>
    </xdr:to>
    <xdr:cxnSp macro="">
      <xdr:nvCxnSpPr>
        <xdr:cNvPr id="4" name="Conector recto de flecha 3"/>
        <xdr:cNvCxnSpPr/>
      </xdr:nvCxnSpPr>
      <xdr:spPr>
        <a:xfrm flipV="1">
          <a:off x="5133975" y="552450"/>
          <a:ext cx="68580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152400</xdr:colOff>
      <xdr:row>2</xdr:row>
      <xdr:rowOff>180975</xdr:rowOff>
    </xdr:from>
    <xdr:to>
      <xdr:col>20</xdr:col>
      <xdr:colOff>76200</xdr:colOff>
      <xdr:row>6</xdr:row>
      <xdr:rowOff>161925</xdr:rowOff>
    </xdr:to>
    <xdr:cxnSp macro="">
      <xdr:nvCxnSpPr>
        <xdr:cNvPr id="5" name="Conector recto de flecha 4"/>
        <xdr:cNvCxnSpPr/>
      </xdr:nvCxnSpPr>
      <xdr:spPr>
        <a:xfrm flipV="1">
          <a:off x="6534150" y="561975"/>
          <a:ext cx="68580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2</xdr:row>
      <xdr:rowOff>180975</xdr:rowOff>
    </xdr:from>
    <xdr:to>
      <xdr:col>24</xdr:col>
      <xdr:colOff>66675</xdr:colOff>
      <xdr:row>6</xdr:row>
      <xdr:rowOff>161925</xdr:rowOff>
    </xdr:to>
    <xdr:cxnSp macro="">
      <xdr:nvCxnSpPr>
        <xdr:cNvPr id="6" name="Conector recto de flecha 5"/>
        <xdr:cNvCxnSpPr/>
      </xdr:nvCxnSpPr>
      <xdr:spPr>
        <a:xfrm flipV="1">
          <a:off x="8096250" y="561975"/>
          <a:ext cx="68580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8</xdr:row>
      <xdr:rowOff>180975</xdr:rowOff>
    </xdr:from>
    <xdr:to>
      <xdr:col>15</xdr:col>
      <xdr:colOff>704850</xdr:colOff>
      <xdr:row>11</xdr:row>
      <xdr:rowOff>180975</xdr:rowOff>
    </xdr:to>
    <xdr:cxnSp macro="">
      <xdr:nvCxnSpPr>
        <xdr:cNvPr id="7" name="Conector recto de flecha 6"/>
        <xdr:cNvCxnSpPr/>
      </xdr:nvCxnSpPr>
      <xdr:spPr>
        <a:xfrm>
          <a:off x="5076825" y="1704975"/>
          <a:ext cx="609600" cy="571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123825</xdr:colOff>
      <xdr:row>9</xdr:row>
      <xdr:rowOff>38100</xdr:rowOff>
    </xdr:from>
    <xdr:to>
      <xdr:col>23</xdr:col>
      <xdr:colOff>733425</xdr:colOff>
      <xdr:row>12</xdr:row>
      <xdr:rowOff>38100</xdr:rowOff>
    </xdr:to>
    <xdr:cxnSp macro="">
      <xdr:nvCxnSpPr>
        <xdr:cNvPr id="8" name="Conector recto de flecha 7"/>
        <xdr:cNvCxnSpPr/>
      </xdr:nvCxnSpPr>
      <xdr:spPr>
        <a:xfrm>
          <a:off x="8077200" y="1752600"/>
          <a:ext cx="609600" cy="571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95250</xdr:colOff>
      <xdr:row>8</xdr:row>
      <xdr:rowOff>47625</xdr:rowOff>
    </xdr:from>
    <xdr:to>
      <xdr:col>3</xdr:col>
      <xdr:colOff>685800</xdr:colOff>
      <xdr:row>8</xdr:row>
      <xdr:rowOff>47626</xdr:rowOff>
    </xdr:to>
    <xdr:cxnSp macro="">
      <xdr:nvCxnSpPr>
        <xdr:cNvPr id="9" name="Conector recto de flecha 8"/>
        <xdr:cNvCxnSpPr/>
      </xdr:nvCxnSpPr>
      <xdr:spPr>
        <a:xfrm flipV="1">
          <a:off x="1009650" y="1571625"/>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104775</xdr:colOff>
      <xdr:row>8</xdr:row>
      <xdr:rowOff>38100</xdr:rowOff>
    </xdr:from>
    <xdr:to>
      <xdr:col>7</xdr:col>
      <xdr:colOff>695325</xdr:colOff>
      <xdr:row>8</xdr:row>
      <xdr:rowOff>38101</xdr:rowOff>
    </xdr:to>
    <xdr:cxnSp macro="">
      <xdr:nvCxnSpPr>
        <xdr:cNvPr id="10" name="Conector recto de flecha 9"/>
        <xdr:cNvCxnSpPr/>
      </xdr:nvCxnSpPr>
      <xdr:spPr>
        <a:xfrm flipV="1">
          <a:off x="2362200" y="1562100"/>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76200</xdr:colOff>
      <xdr:row>8</xdr:row>
      <xdr:rowOff>38100</xdr:rowOff>
    </xdr:from>
    <xdr:to>
      <xdr:col>11</xdr:col>
      <xdr:colOff>666750</xdr:colOff>
      <xdr:row>8</xdr:row>
      <xdr:rowOff>38101</xdr:rowOff>
    </xdr:to>
    <xdr:cxnSp macro="">
      <xdr:nvCxnSpPr>
        <xdr:cNvPr id="11" name="Conector recto de flecha 10"/>
        <xdr:cNvCxnSpPr/>
      </xdr:nvCxnSpPr>
      <xdr:spPr>
        <a:xfrm flipV="1">
          <a:off x="3695700" y="1562100"/>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142875</xdr:colOff>
      <xdr:row>8</xdr:row>
      <xdr:rowOff>38100</xdr:rowOff>
    </xdr:from>
    <xdr:to>
      <xdr:col>15</xdr:col>
      <xdr:colOff>733425</xdr:colOff>
      <xdr:row>8</xdr:row>
      <xdr:rowOff>38101</xdr:rowOff>
    </xdr:to>
    <xdr:cxnSp macro="">
      <xdr:nvCxnSpPr>
        <xdr:cNvPr id="12" name="Conector recto de flecha 11"/>
        <xdr:cNvCxnSpPr/>
      </xdr:nvCxnSpPr>
      <xdr:spPr>
        <a:xfrm flipV="1">
          <a:off x="5124450" y="1562100"/>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95250</xdr:colOff>
      <xdr:row>8</xdr:row>
      <xdr:rowOff>47625</xdr:rowOff>
    </xdr:from>
    <xdr:to>
      <xdr:col>19</xdr:col>
      <xdr:colOff>685800</xdr:colOff>
      <xdr:row>8</xdr:row>
      <xdr:rowOff>47626</xdr:rowOff>
    </xdr:to>
    <xdr:cxnSp macro="">
      <xdr:nvCxnSpPr>
        <xdr:cNvPr id="13" name="Conector recto de flecha 12"/>
        <xdr:cNvCxnSpPr/>
      </xdr:nvCxnSpPr>
      <xdr:spPr>
        <a:xfrm flipV="1">
          <a:off x="6477000" y="1571625"/>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171450</xdr:colOff>
      <xdr:row>8</xdr:row>
      <xdr:rowOff>47625</xdr:rowOff>
    </xdr:from>
    <xdr:to>
      <xdr:col>24</xdr:col>
      <xdr:colOff>0</xdr:colOff>
      <xdr:row>8</xdr:row>
      <xdr:rowOff>47626</xdr:rowOff>
    </xdr:to>
    <xdr:cxnSp macro="">
      <xdr:nvCxnSpPr>
        <xdr:cNvPr id="14" name="Conector recto de flecha 13"/>
        <xdr:cNvCxnSpPr/>
      </xdr:nvCxnSpPr>
      <xdr:spPr>
        <a:xfrm flipV="1">
          <a:off x="8124825" y="1571625"/>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104775</xdr:colOff>
      <xdr:row>8</xdr:row>
      <xdr:rowOff>47625</xdr:rowOff>
    </xdr:from>
    <xdr:to>
      <xdr:col>27</xdr:col>
      <xdr:colOff>695325</xdr:colOff>
      <xdr:row>8</xdr:row>
      <xdr:rowOff>47626</xdr:rowOff>
    </xdr:to>
    <xdr:cxnSp macro="">
      <xdr:nvCxnSpPr>
        <xdr:cNvPr id="15" name="Conector recto de flecha 14"/>
        <xdr:cNvCxnSpPr/>
      </xdr:nvCxnSpPr>
      <xdr:spPr>
        <a:xfrm flipV="1">
          <a:off x="9658350" y="1571625"/>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133350</xdr:colOff>
      <xdr:row>8</xdr:row>
      <xdr:rowOff>57150</xdr:rowOff>
    </xdr:from>
    <xdr:to>
      <xdr:col>31</xdr:col>
      <xdr:colOff>723900</xdr:colOff>
      <xdr:row>8</xdr:row>
      <xdr:rowOff>57151</xdr:rowOff>
    </xdr:to>
    <xdr:cxnSp macro="">
      <xdr:nvCxnSpPr>
        <xdr:cNvPr id="16" name="Conector recto de flecha 15"/>
        <xdr:cNvCxnSpPr/>
      </xdr:nvCxnSpPr>
      <xdr:spPr>
        <a:xfrm flipV="1">
          <a:off x="11258550" y="1581150"/>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95250</xdr:colOff>
      <xdr:row>8</xdr:row>
      <xdr:rowOff>47625</xdr:rowOff>
    </xdr:from>
    <xdr:to>
      <xdr:col>3</xdr:col>
      <xdr:colOff>685800</xdr:colOff>
      <xdr:row>8</xdr:row>
      <xdr:rowOff>47626</xdr:rowOff>
    </xdr:to>
    <xdr:cxnSp macro="">
      <xdr:nvCxnSpPr>
        <xdr:cNvPr id="11" name="Conector recto de flecha 10"/>
        <xdr:cNvCxnSpPr/>
      </xdr:nvCxnSpPr>
      <xdr:spPr>
        <a:xfrm flipV="1">
          <a:off x="1009650" y="1571625"/>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8</xdr:row>
      <xdr:rowOff>38100</xdr:rowOff>
    </xdr:from>
    <xdr:to>
      <xdr:col>8</xdr:col>
      <xdr:colOff>9525</xdr:colOff>
      <xdr:row>8</xdr:row>
      <xdr:rowOff>38101</xdr:rowOff>
    </xdr:to>
    <xdr:cxnSp macro="">
      <xdr:nvCxnSpPr>
        <xdr:cNvPr id="21" name="Conector recto de flecha 20"/>
        <xdr:cNvCxnSpPr/>
      </xdr:nvCxnSpPr>
      <xdr:spPr>
        <a:xfrm flipV="1">
          <a:off x="2524125" y="1562100"/>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xdr:colOff>
      <xdr:row>8</xdr:row>
      <xdr:rowOff>57150</xdr:rowOff>
    </xdr:from>
    <xdr:to>
      <xdr:col>11</xdr:col>
      <xdr:colOff>609600</xdr:colOff>
      <xdr:row>8</xdr:row>
      <xdr:rowOff>57151</xdr:rowOff>
    </xdr:to>
    <xdr:cxnSp macro="">
      <xdr:nvCxnSpPr>
        <xdr:cNvPr id="22" name="Conector recto de flecha 21"/>
        <xdr:cNvCxnSpPr/>
      </xdr:nvCxnSpPr>
      <xdr:spPr>
        <a:xfrm flipV="1">
          <a:off x="3790950" y="1581150"/>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8</xdr:row>
      <xdr:rowOff>38100</xdr:rowOff>
    </xdr:from>
    <xdr:to>
      <xdr:col>15</xdr:col>
      <xdr:colOff>676275</xdr:colOff>
      <xdr:row>8</xdr:row>
      <xdr:rowOff>38101</xdr:rowOff>
    </xdr:to>
    <xdr:cxnSp macro="">
      <xdr:nvCxnSpPr>
        <xdr:cNvPr id="23" name="Conector recto de flecha 22"/>
        <xdr:cNvCxnSpPr/>
      </xdr:nvCxnSpPr>
      <xdr:spPr>
        <a:xfrm flipV="1">
          <a:off x="5334000" y="1562100"/>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38100</xdr:colOff>
      <xdr:row>8</xdr:row>
      <xdr:rowOff>57150</xdr:rowOff>
    </xdr:from>
    <xdr:to>
      <xdr:col>19</xdr:col>
      <xdr:colOff>628650</xdr:colOff>
      <xdr:row>8</xdr:row>
      <xdr:rowOff>57151</xdr:rowOff>
    </xdr:to>
    <xdr:cxnSp macro="">
      <xdr:nvCxnSpPr>
        <xdr:cNvPr id="24" name="Conector recto de flecha 23"/>
        <xdr:cNvCxnSpPr/>
      </xdr:nvCxnSpPr>
      <xdr:spPr>
        <a:xfrm flipV="1">
          <a:off x="6696075" y="1581150"/>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xdr:colOff>
      <xdr:row>8</xdr:row>
      <xdr:rowOff>38100</xdr:rowOff>
    </xdr:from>
    <xdr:to>
      <xdr:col>23</xdr:col>
      <xdr:colOff>609600</xdr:colOff>
      <xdr:row>8</xdr:row>
      <xdr:rowOff>38101</xdr:rowOff>
    </xdr:to>
    <xdr:cxnSp macro="">
      <xdr:nvCxnSpPr>
        <xdr:cNvPr id="25" name="Conector recto de flecha 24"/>
        <xdr:cNvCxnSpPr/>
      </xdr:nvCxnSpPr>
      <xdr:spPr>
        <a:xfrm flipV="1">
          <a:off x="8105775" y="1562100"/>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28575</xdr:colOff>
      <xdr:row>8</xdr:row>
      <xdr:rowOff>28575</xdr:rowOff>
    </xdr:from>
    <xdr:to>
      <xdr:col>27</xdr:col>
      <xdr:colOff>619125</xdr:colOff>
      <xdr:row>8</xdr:row>
      <xdr:rowOff>28576</xdr:rowOff>
    </xdr:to>
    <xdr:cxnSp macro="">
      <xdr:nvCxnSpPr>
        <xdr:cNvPr id="26" name="Conector recto de flecha 25"/>
        <xdr:cNvCxnSpPr/>
      </xdr:nvCxnSpPr>
      <xdr:spPr>
        <a:xfrm flipV="1">
          <a:off x="9620250" y="1552575"/>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28575</xdr:colOff>
      <xdr:row>8</xdr:row>
      <xdr:rowOff>19050</xdr:rowOff>
    </xdr:from>
    <xdr:to>
      <xdr:col>32</xdr:col>
      <xdr:colOff>28575</xdr:colOff>
      <xdr:row>8</xdr:row>
      <xdr:rowOff>19051</xdr:rowOff>
    </xdr:to>
    <xdr:cxnSp macro="">
      <xdr:nvCxnSpPr>
        <xdr:cNvPr id="27" name="Conector recto de flecha 26"/>
        <xdr:cNvCxnSpPr/>
      </xdr:nvCxnSpPr>
      <xdr:spPr>
        <a:xfrm flipV="1">
          <a:off x="11277600" y="1543050"/>
          <a:ext cx="590550"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66675</xdr:colOff>
      <xdr:row>8</xdr:row>
      <xdr:rowOff>9525</xdr:rowOff>
    </xdr:from>
    <xdr:to>
      <xdr:col>35</xdr:col>
      <xdr:colOff>685800</xdr:colOff>
      <xdr:row>8</xdr:row>
      <xdr:rowOff>9526</xdr:rowOff>
    </xdr:to>
    <xdr:cxnSp macro="">
      <xdr:nvCxnSpPr>
        <xdr:cNvPr id="28" name="Conector recto de flecha 27"/>
        <xdr:cNvCxnSpPr/>
      </xdr:nvCxnSpPr>
      <xdr:spPr>
        <a:xfrm flipV="1">
          <a:off x="12906375" y="1533525"/>
          <a:ext cx="619125"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47625</xdr:colOff>
      <xdr:row>8</xdr:row>
      <xdr:rowOff>38100</xdr:rowOff>
    </xdr:from>
    <xdr:to>
      <xdr:col>40</xdr:col>
      <xdr:colOff>47625</xdr:colOff>
      <xdr:row>8</xdr:row>
      <xdr:rowOff>38101</xdr:rowOff>
    </xdr:to>
    <xdr:cxnSp macro="">
      <xdr:nvCxnSpPr>
        <xdr:cNvPr id="29" name="Conector recto de flecha 28"/>
        <xdr:cNvCxnSpPr/>
      </xdr:nvCxnSpPr>
      <xdr:spPr>
        <a:xfrm flipV="1">
          <a:off x="14458950" y="1562100"/>
          <a:ext cx="619125"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38100</xdr:colOff>
      <xdr:row>8</xdr:row>
      <xdr:rowOff>19050</xdr:rowOff>
    </xdr:from>
    <xdr:to>
      <xdr:col>43</xdr:col>
      <xdr:colOff>657225</xdr:colOff>
      <xdr:row>8</xdr:row>
      <xdr:rowOff>19051</xdr:rowOff>
    </xdr:to>
    <xdr:cxnSp macro="">
      <xdr:nvCxnSpPr>
        <xdr:cNvPr id="30" name="Conector recto de flecha 29"/>
        <xdr:cNvCxnSpPr/>
      </xdr:nvCxnSpPr>
      <xdr:spPr>
        <a:xfrm flipV="1">
          <a:off x="16040100" y="1543050"/>
          <a:ext cx="619125"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9525</xdr:colOff>
      <xdr:row>8</xdr:row>
      <xdr:rowOff>19050</xdr:rowOff>
    </xdr:from>
    <xdr:to>
      <xdr:col>48</xdr:col>
      <xdr:colOff>9525</xdr:colOff>
      <xdr:row>8</xdr:row>
      <xdr:rowOff>19051</xdr:rowOff>
    </xdr:to>
    <xdr:cxnSp macro="">
      <xdr:nvCxnSpPr>
        <xdr:cNvPr id="31" name="Conector recto de flecha 30"/>
        <xdr:cNvCxnSpPr/>
      </xdr:nvCxnSpPr>
      <xdr:spPr>
        <a:xfrm flipV="1">
          <a:off x="17526000" y="1543050"/>
          <a:ext cx="619125"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xdr:colOff>
      <xdr:row>8</xdr:row>
      <xdr:rowOff>28575</xdr:rowOff>
    </xdr:from>
    <xdr:to>
      <xdr:col>52</xdr:col>
      <xdr:colOff>95250</xdr:colOff>
      <xdr:row>8</xdr:row>
      <xdr:rowOff>28576</xdr:rowOff>
    </xdr:to>
    <xdr:cxnSp macro="">
      <xdr:nvCxnSpPr>
        <xdr:cNvPr id="32" name="Conector recto de flecha 31"/>
        <xdr:cNvCxnSpPr/>
      </xdr:nvCxnSpPr>
      <xdr:spPr>
        <a:xfrm flipV="1">
          <a:off x="19154775" y="1552575"/>
          <a:ext cx="619125"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0</xdr:colOff>
      <xdr:row>8</xdr:row>
      <xdr:rowOff>19050</xdr:rowOff>
    </xdr:from>
    <xdr:to>
      <xdr:col>55</xdr:col>
      <xdr:colOff>619125</xdr:colOff>
      <xdr:row>8</xdr:row>
      <xdr:rowOff>19051</xdr:rowOff>
    </xdr:to>
    <xdr:cxnSp macro="">
      <xdr:nvCxnSpPr>
        <xdr:cNvPr id="33" name="Conector recto de flecha 32"/>
        <xdr:cNvCxnSpPr/>
      </xdr:nvCxnSpPr>
      <xdr:spPr>
        <a:xfrm flipV="1">
          <a:off x="20678775" y="1543050"/>
          <a:ext cx="619125"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19050</xdr:colOff>
      <xdr:row>8</xdr:row>
      <xdr:rowOff>0</xdr:rowOff>
    </xdr:from>
    <xdr:to>
      <xdr:col>59</xdr:col>
      <xdr:colOff>638175</xdr:colOff>
      <xdr:row>8</xdr:row>
      <xdr:rowOff>1</xdr:rowOff>
    </xdr:to>
    <xdr:cxnSp macro="">
      <xdr:nvCxnSpPr>
        <xdr:cNvPr id="34" name="Conector recto de flecha 33"/>
        <xdr:cNvCxnSpPr/>
      </xdr:nvCxnSpPr>
      <xdr:spPr>
        <a:xfrm flipV="1">
          <a:off x="22155150" y="1524000"/>
          <a:ext cx="619125"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152400</xdr:colOff>
      <xdr:row>0</xdr:row>
      <xdr:rowOff>0</xdr:rowOff>
    </xdr:from>
    <xdr:to>
      <xdr:col>16</xdr:col>
      <xdr:colOff>685800</xdr:colOff>
      <xdr:row>20</xdr:row>
      <xdr:rowOff>80963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247650</xdr:colOff>
      <xdr:row>38</xdr:row>
      <xdr:rowOff>157161</xdr:rowOff>
    </xdr:from>
    <xdr:to>
      <xdr:col>14</xdr:col>
      <xdr:colOff>266700</xdr:colOff>
      <xdr:row>58</xdr:row>
      <xdr:rowOff>47624</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O273"/>
  <sheetViews>
    <sheetView zoomScale="125" zoomScaleNormal="125" workbookViewId="0">
      <selection activeCell="E3" sqref="E3"/>
    </sheetView>
  </sheetViews>
  <sheetFormatPr baseColWidth="10" defaultRowHeight="15" x14ac:dyDescent="0.25"/>
  <cols>
    <col min="2" max="2" width="31.28515625" customWidth="1"/>
    <col min="3" max="3" width="11.28515625" customWidth="1"/>
    <col min="4" max="4" width="11.85546875" customWidth="1"/>
    <col min="5" max="6" width="11.5703125" customWidth="1"/>
    <col min="7" max="7" width="10.7109375" customWidth="1"/>
    <col min="8" max="8" width="10.140625" customWidth="1"/>
    <col min="9" max="9" width="11.140625" customWidth="1"/>
    <col min="10" max="10" width="11.28515625" customWidth="1"/>
    <col min="11" max="11" width="10" customWidth="1"/>
    <col min="12" max="12" width="16.42578125" customWidth="1"/>
    <col min="13" max="13" width="14.140625" customWidth="1"/>
    <col min="15" max="15" width="38.140625" customWidth="1"/>
    <col min="16" max="16" width="21.5703125" customWidth="1"/>
  </cols>
  <sheetData>
    <row r="1" spans="1:15" x14ac:dyDescent="0.25">
      <c r="A1" s="145" t="s">
        <v>0</v>
      </c>
      <c r="B1" s="145"/>
      <c r="C1" s="145"/>
      <c r="D1" s="145"/>
      <c r="E1" s="145"/>
      <c r="F1" s="145"/>
      <c r="G1" s="145"/>
      <c r="H1" s="145"/>
      <c r="I1" s="145"/>
      <c r="J1" s="145"/>
      <c r="K1" s="145"/>
      <c r="L1" s="145"/>
      <c r="M1" s="145"/>
      <c r="N1" s="145"/>
      <c r="O1" s="80"/>
    </row>
    <row r="2" spans="1:15" x14ac:dyDescent="0.25">
      <c r="A2" s="145" t="s">
        <v>35</v>
      </c>
      <c r="B2" s="145"/>
      <c r="C2" s="103"/>
      <c r="D2" s="103"/>
      <c r="E2" s="103"/>
      <c r="F2" s="103"/>
      <c r="G2" s="103"/>
      <c r="H2" s="103"/>
      <c r="I2" s="103"/>
      <c r="J2" s="103"/>
      <c r="K2" s="103"/>
      <c r="L2" s="103"/>
      <c r="M2" s="80"/>
      <c r="N2" s="80"/>
      <c r="O2" s="80"/>
    </row>
    <row r="3" spans="1:15" x14ac:dyDescent="0.25">
      <c r="A3" s="147"/>
      <c r="B3" s="147"/>
      <c r="C3" s="80"/>
      <c r="D3" s="80"/>
      <c r="E3" s="103"/>
      <c r="F3" s="103"/>
      <c r="G3" s="103"/>
      <c r="H3" s="103"/>
      <c r="I3" s="103"/>
      <c r="J3" s="103"/>
      <c r="K3" s="103"/>
      <c r="L3" s="103"/>
      <c r="M3" s="80"/>
      <c r="N3" s="80"/>
      <c r="O3" s="80"/>
    </row>
    <row r="4" spans="1:15" x14ac:dyDescent="0.25">
      <c r="A4" s="147"/>
      <c r="B4" s="147"/>
      <c r="C4" s="103"/>
      <c r="D4" s="103"/>
      <c r="E4" s="103"/>
      <c r="F4" s="103"/>
      <c r="G4" s="103"/>
      <c r="H4" s="103"/>
      <c r="I4" s="103"/>
      <c r="J4" s="103"/>
      <c r="K4" s="103"/>
      <c r="L4" s="103"/>
      <c r="M4" s="80"/>
      <c r="N4" s="80"/>
      <c r="O4" s="80"/>
    </row>
    <row r="5" spans="1:15" x14ac:dyDescent="0.25">
      <c r="A5" s="146" t="s">
        <v>13</v>
      </c>
      <c r="B5" s="146"/>
      <c r="C5" s="146"/>
      <c r="D5" s="146"/>
      <c r="E5" s="146"/>
      <c r="F5" s="146"/>
      <c r="G5" s="146"/>
      <c r="H5" s="146"/>
      <c r="I5" s="146"/>
      <c r="J5" s="146"/>
      <c r="K5" s="146"/>
      <c r="L5" s="146"/>
      <c r="M5" s="104"/>
      <c r="N5" s="104"/>
      <c r="O5" s="104"/>
    </row>
    <row r="6" spans="1:15" ht="30" x14ac:dyDescent="0.25">
      <c r="A6" s="105" t="s">
        <v>1</v>
      </c>
      <c r="B6" s="105" t="s">
        <v>2</v>
      </c>
      <c r="C6" s="105" t="s">
        <v>3</v>
      </c>
      <c r="D6" s="105" t="s">
        <v>4</v>
      </c>
      <c r="E6" s="105" t="s">
        <v>5</v>
      </c>
      <c r="F6" s="105" t="s">
        <v>6</v>
      </c>
      <c r="G6" s="105" t="s">
        <v>7</v>
      </c>
      <c r="H6" s="105" t="s">
        <v>8</v>
      </c>
      <c r="I6" s="105" t="s">
        <v>9</v>
      </c>
      <c r="J6" s="105" t="s">
        <v>12</v>
      </c>
      <c r="K6" s="105" t="s">
        <v>11</v>
      </c>
      <c r="L6" s="105" t="s">
        <v>10</v>
      </c>
      <c r="M6" s="106" t="s">
        <v>353</v>
      </c>
      <c r="N6" s="105" t="s">
        <v>351</v>
      </c>
      <c r="O6" s="105"/>
    </row>
    <row r="7" spans="1:15" ht="30" x14ac:dyDescent="0.25">
      <c r="A7" s="107"/>
      <c r="B7" s="108" t="s">
        <v>297</v>
      </c>
      <c r="C7" s="107"/>
      <c r="D7" s="107"/>
      <c r="E7" s="107"/>
      <c r="F7" s="107"/>
      <c r="G7" s="107"/>
      <c r="H7" s="107"/>
      <c r="I7" s="107"/>
      <c r="J7" s="134">
        <v>275.5</v>
      </c>
      <c r="K7" s="105" t="s">
        <v>308</v>
      </c>
      <c r="L7" s="107"/>
      <c r="M7" s="146"/>
      <c r="N7" s="146" t="s">
        <v>420</v>
      </c>
      <c r="O7" s="80"/>
    </row>
    <row r="8" spans="1:15" x14ac:dyDescent="0.25">
      <c r="A8" s="107"/>
      <c r="B8" s="107" t="s">
        <v>298</v>
      </c>
      <c r="C8" s="107"/>
      <c r="D8" s="107"/>
      <c r="E8" s="107"/>
      <c r="F8" s="107"/>
      <c r="G8" s="107"/>
      <c r="H8" s="107"/>
      <c r="I8" s="107">
        <v>14.04</v>
      </c>
      <c r="J8" s="134">
        <f>I8*J10</f>
        <v>4214.6675999999998</v>
      </c>
      <c r="K8" s="105" t="s">
        <v>309</v>
      </c>
      <c r="L8" s="107"/>
      <c r="M8" s="146"/>
      <c r="N8" s="146"/>
      <c r="O8" s="80"/>
    </row>
    <row r="9" spans="1:15" x14ac:dyDescent="0.25">
      <c r="A9" s="107"/>
      <c r="B9" s="107"/>
      <c r="C9" s="107"/>
      <c r="D9" s="107"/>
      <c r="E9" s="107"/>
      <c r="F9" s="107"/>
      <c r="G9" s="107"/>
      <c r="H9" s="107"/>
      <c r="I9" s="107"/>
      <c r="J9" s="107"/>
      <c r="K9" s="107"/>
      <c r="L9" s="107"/>
      <c r="M9" s="80"/>
      <c r="N9" s="80"/>
      <c r="O9" s="80"/>
    </row>
    <row r="10" spans="1:15" ht="90" customHeight="1" x14ac:dyDescent="0.25">
      <c r="A10" s="109"/>
      <c r="B10" s="110" t="s">
        <v>14</v>
      </c>
      <c r="C10" s="111"/>
      <c r="D10" s="80"/>
      <c r="E10" s="80"/>
      <c r="F10" s="80"/>
      <c r="G10" s="80"/>
      <c r="H10" s="80"/>
      <c r="I10" s="80"/>
      <c r="J10" s="112">
        <f>I11</f>
        <v>300.19</v>
      </c>
      <c r="K10" s="113" t="s">
        <v>15</v>
      </c>
      <c r="L10" s="80"/>
      <c r="M10" s="114" t="s">
        <v>352</v>
      </c>
      <c r="N10" s="114"/>
      <c r="O10" s="135"/>
    </row>
    <row r="11" spans="1:15" x14ac:dyDescent="0.25">
      <c r="A11" s="109"/>
      <c r="B11" s="110"/>
      <c r="C11" s="115" t="s">
        <v>93</v>
      </c>
      <c r="D11" s="80"/>
      <c r="E11" s="80"/>
      <c r="F11" s="80"/>
      <c r="G11" s="80"/>
      <c r="H11" s="80"/>
      <c r="I11" s="80">
        <v>300.19</v>
      </c>
      <c r="J11" s="116"/>
      <c r="K11" s="117"/>
      <c r="L11" s="80"/>
      <c r="M11" s="80"/>
      <c r="N11" s="80"/>
      <c r="O11" s="80"/>
    </row>
    <row r="12" spans="1:15" x14ac:dyDescent="0.25">
      <c r="A12" s="109"/>
      <c r="B12" s="110"/>
      <c r="C12" s="115"/>
      <c r="D12" s="80"/>
      <c r="E12" s="80"/>
      <c r="F12" s="80"/>
      <c r="G12" s="80"/>
      <c r="H12" s="80"/>
      <c r="I12" s="80"/>
      <c r="J12" s="116"/>
      <c r="K12" s="117"/>
      <c r="L12" s="80"/>
      <c r="M12" s="80"/>
      <c r="N12" s="80"/>
      <c r="O12" s="80"/>
    </row>
    <row r="13" spans="1:15" x14ac:dyDescent="0.25">
      <c r="A13" s="109"/>
      <c r="B13" s="118"/>
      <c r="C13" s="119"/>
      <c r="D13" s="120"/>
      <c r="E13" s="109"/>
      <c r="F13" s="109"/>
      <c r="G13" s="80"/>
      <c r="H13" s="80"/>
      <c r="I13" s="80"/>
      <c r="J13" s="80"/>
      <c r="K13" s="80"/>
      <c r="L13" s="80"/>
      <c r="M13" s="80"/>
      <c r="N13" s="80"/>
      <c r="O13" s="80"/>
    </row>
    <row r="14" spans="1:15" ht="113.25" customHeight="1" x14ac:dyDescent="0.25">
      <c r="A14" s="109"/>
      <c r="B14" s="121" t="s">
        <v>141</v>
      </c>
      <c r="C14" s="80"/>
      <c r="D14" s="80"/>
      <c r="E14" s="80"/>
      <c r="F14" s="80"/>
      <c r="G14" s="80"/>
      <c r="H14" s="80"/>
      <c r="I14" s="80"/>
      <c r="J14" s="112">
        <f>I15+I16+I17</f>
        <v>300.19</v>
      </c>
      <c r="K14" s="113" t="s">
        <v>15</v>
      </c>
      <c r="L14" s="80"/>
      <c r="M14" s="114" t="s">
        <v>352</v>
      </c>
      <c r="N14" s="114"/>
      <c r="O14" s="80"/>
    </row>
    <row r="15" spans="1:15" x14ac:dyDescent="0.25">
      <c r="A15" s="109"/>
      <c r="B15" s="121"/>
      <c r="C15" s="115" t="s">
        <v>93</v>
      </c>
      <c r="D15" s="80"/>
      <c r="E15" s="80"/>
      <c r="F15" s="80"/>
      <c r="G15" s="80"/>
      <c r="H15" s="80"/>
      <c r="I15" s="80">
        <v>300.19</v>
      </c>
      <c r="J15" s="116"/>
      <c r="K15" s="117"/>
      <c r="L15" s="80"/>
      <c r="M15" s="80"/>
      <c r="N15" s="80"/>
      <c r="O15" s="80"/>
    </row>
    <row r="16" spans="1:15" x14ac:dyDescent="0.25">
      <c r="A16" s="109"/>
      <c r="B16" s="121"/>
      <c r="C16" s="115"/>
      <c r="D16" s="80"/>
      <c r="E16" s="80"/>
      <c r="F16" s="80"/>
      <c r="G16" s="80"/>
      <c r="H16" s="80"/>
      <c r="I16" s="80"/>
      <c r="J16" s="116"/>
      <c r="K16" s="117"/>
      <c r="L16" s="80"/>
      <c r="M16" s="80"/>
      <c r="N16" s="80"/>
      <c r="O16" s="80"/>
    </row>
    <row r="17" spans="1:15" x14ac:dyDescent="0.25">
      <c r="A17" s="109"/>
      <c r="B17" s="118"/>
      <c r="C17" s="119"/>
      <c r="D17" s="120"/>
      <c r="E17" s="109"/>
      <c r="F17" s="109"/>
      <c r="G17" s="80"/>
      <c r="H17" s="80"/>
      <c r="I17" s="80"/>
      <c r="J17" s="80"/>
      <c r="K17" s="80"/>
      <c r="L17" s="80"/>
      <c r="M17" s="80"/>
      <c r="N17" s="80"/>
      <c r="O17" s="80"/>
    </row>
    <row r="18" spans="1:15" ht="103.5" customHeight="1" x14ac:dyDescent="0.25">
      <c r="A18" s="109"/>
      <c r="B18" s="121" t="s">
        <v>126</v>
      </c>
      <c r="C18" s="119"/>
      <c r="D18" s="120"/>
      <c r="E18" s="109"/>
      <c r="F18" s="109"/>
      <c r="G18" s="80"/>
      <c r="H18" s="109">
        <v>1</v>
      </c>
      <c r="I18" s="80"/>
      <c r="J18" s="112">
        <f>H18</f>
        <v>1</v>
      </c>
      <c r="K18" s="112" t="s">
        <v>127</v>
      </c>
      <c r="L18" s="80"/>
      <c r="M18" s="146"/>
      <c r="N18" s="144"/>
      <c r="O18" s="80"/>
    </row>
    <row r="19" spans="1:15" ht="123" customHeight="1" x14ac:dyDescent="0.25">
      <c r="A19" s="109"/>
      <c r="B19" s="122" t="s">
        <v>128</v>
      </c>
      <c r="C19" s="119"/>
      <c r="D19" s="120"/>
      <c r="E19" s="109"/>
      <c r="F19" s="109"/>
      <c r="G19" s="80"/>
      <c r="H19" s="109">
        <v>1</v>
      </c>
      <c r="I19" s="80"/>
      <c r="J19" s="112">
        <f>H19</f>
        <v>1</v>
      </c>
      <c r="K19" s="112" t="s">
        <v>127</v>
      </c>
      <c r="L19" s="80"/>
      <c r="M19" s="146"/>
      <c r="N19" s="144"/>
      <c r="O19" s="80"/>
    </row>
    <row r="20" spans="1:15" x14ac:dyDescent="0.25">
      <c r="A20" s="144" t="s">
        <v>20</v>
      </c>
      <c r="B20" s="144"/>
      <c r="C20" s="144"/>
      <c r="D20" s="144"/>
      <c r="E20" s="144"/>
      <c r="F20" s="144"/>
      <c r="G20" s="144"/>
      <c r="H20" s="144"/>
      <c r="I20" s="144"/>
      <c r="J20" s="144"/>
      <c r="K20" s="144"/>
      <c r="L20" s="144"/>
      <c r="M20" s="144"/>
      <c r="N20" s="144"/>
      <c r="O20" s="80"/>
    </row>
    <row r="21" spans="1:15" ht="30" x14ac:dyDescent="0.25">
      <c r="A21" s="105" t="s">
        <v>1</v>
      </c>
      <c r="B21" s="105" t="s">
        <v>2</v>
      </c>
      <c r="C21" s="105" t="s">
        <v>3</v>
      </c>
      <c r="D21" s="105" t="s">
        <v>4</v>
      </c>
      <c r="E21" s="105" t="s">
        <v>5</v>
      </c>
      <c r="F21" s="105" t="s">
        <v>6</v>
      </c>
      <c r="G21" s="105" t="s">
        <v>7</v>
      </c>
      <c r="H21" s="105" t="s">
        <v>8</v>
      </c>
      <c r="I21" s="105" t="s">
        <v>9</v>
      </c>
      <c r="J21" s="105" t="s">
        <v>12</v>
      </c>
      <c r="K21" s="105" t="s">
        <v>11</v>
      </c>
      <c r="L21" s="105" t="s">
        <v>10</v>
      </c>
      <c r="M21" s="106" t="s">
        <v>353</v>
      </c>
      <c r="N21" s="105" t="s">
        <v>351</v>
      </c>
      <c r="O21" s="80"/>
    </row>
    <row r="22" spans="1:15" ht="161.25" customHeight="1" x14ac:dyDescent="0.25">
      <c r="A22" s="109"/>
      <c r="B22" s="121" t="s">
        <v>197</v>
      </c>
      <c r="C22" s="80"/>
      <c r="D22" s="80"/>
      <c r="E22" s="80"/>
      <c r="F22" s="80"/>
      <c r="G22" s="80"/>
      <c r="H22" s="80"/>
      <c r="I22" s="80"/>
      <c r="J22" s="123">
        <f>I23+I24+I25+I26+I27+I28+I29+I30+I31+I33+I34+I35+I36+I37+I32</f>
        <v>77.395200000000003</v>
      </c>
      <c r="K22" s="113" t="s">
        <v>23</v>
      </c>
      <c r="L22" s="80"/>
      <c r="M22" s="114" t="s">
        <v>358</v>
      </c>
      <c r="N22" s="114"/>
      <c r="O22" s="135"/>
    </row>
    <row r="23" spans="1:15" x14ac:dyDescent="0.25">
      <c r="A23" s="80"/>
      <c r="B23" s="80"/>
      <c r="C23" s="80">
        <v>1</v>
      </c>
      <c r="D23" s="124" t="s">
        <v>506</v>
      </c>
      <c r="E23" s="80">
        <v>20.100000000000001</v>
      </c>
      <c r="F23" s="80">
        <v>0.8</v>
      </c>
      <c r="G23" s="80">
        <v>0.8</v>
      </c>
      <c r="H23" s="80"/>
      <c r="I23" s="125">
        <f>E23*F23*G23</f>
        <v>12.864000000000003</v>
      </c>
      <c r="J23" s="80"/>
      <c r="K23" s="80"/>
      <c r="L23" s="80"/>
      <c r="M23" s="80"/>
      <c r="N23" s="80"/>
      <c r="O23" s="80"/>
    </row>
    <row r="24" spans="1:15" x14ac:dyDescent="0.25">
      <c r="A24" s="80"/>
      <c r="B24" s="80"/>
      <c r="C24" s="80">
        <v>2</v>
      </c>
      <c r="D24" s="124" t="s">
        <v>507</v>
      </c>
      <c r="E24" s="80">
        <v>2.71</v>
      </c>
      <c r="F24" s="80">
        <v>0.8</v>
      </c>
      <c r="G24" s="80">
        <v>0.8</v>
      </c>
      <c r="H24" s="80"/>
      <c r="I24" s="125">
        <f t="shared" ref="I24:I37" si="0">E24*F24*G24</f>
        <v>1.7344000000000002</v>
      </c>
      <c r="J24" s="80"/>
      <c r="K24" s="80"/>
      <c r="L24" s="80"/>
      <c r="M24" s="80"/>
      <c r="N24" s="80"/>
      <c r="O24" s="80"/>
    </row>
    <row r="25" spans="1:15" x14ac:dyDescent="0.25">
      <c r="A25" s="80"/>
      <c r="B25" s="80"/>
      <c r="C25" s="80">
        <v>3</v>
      </c>
      <c r="D25" s="124" t="s">
        <v>508</v>
      </c>
      <c r="E25" s="80">
        <v>4.13</v>
      </c>
      <c r="F25" s="80">
        <v>0.8</v>
      </c>
      <c r="G25" s="80">
        <v>0.8</v>
      </c>
      <c r="H25" s="80"/>
      <c r="I25" s="125">
        <f t="shared" si="0"/>
        <v>2.6432000000000002</v>
      </c>
      <c r="J25" s="80"/>
      <c r="K25" s="80"/>
      <c r="L25" s="80"/>
      <c r="M25" s="80"/>
      <c r="N25" s="80"/>
      <c r="O25" s="80"/>
    </row>
    <row r="26" spans="1:15" x14ac:dyDescent="0.25">
      <c r="A26" s="80"/>
      <c r="B26" s="80"/>
      <c r="C26" s="80">
        <v>4</v>
      </c>
      <c r="D26" s="124" t="s">
        <v>26</v>
      </c>
      <c r="E26" s="80">
        <v>2.57</v>
      </c>
      <c r="F26" s="80">
        <v>0.8</v>
      </c>
      <c r="G26" s="80">
        <v>0.8</v>
      </c>
      <c r="H26" s="80"/>
      <c r="I26" s="125">
        <f t="shared" si="0"/>
        <v>1.6448</v>
      </c>
      <c r="J26" s="80"/>
      <c r="K26" s="80"/>
      <c r="L26" s="80"/>
      <c r="M26" s="80"/>
      <c r="N26" s="80"/>
      <c r="O26" s="80"/>
    </row>
    <row r="27" spans="1:15" x14ac:dyDescent="0.25">
      <c r="A27" s="80"/>
      <c r="B27" s="80"/>
      <c r="C27" s="80">
        <v>5</v>
      </c>
      <c r="D27" s="124" t="s">
        <v>509</v>
      </c>
      <c r="E27" s="80">
        <v>4.04</v>
      </c>
      <c r="F27" s="80">
        <v>0.8</v>
      </c>
      <c r="G27" s="80">
        <v>0.8</v>
      </c>
      <c r="H27" s="80"/>
      <c r="I27" s="125">
        <f t="shared" si="0"/>
        <v>2.5856000000000003</v>
      </c>
      <c r="J27" s="80"/>
      <c r="K27" s="80"/>
      <c r="L27" s="80"/>
      <c r="M27" s="80"/>
      <c r="N27" s="80"/>
      <c r="O27" s="80"/>
    </row>
    <row r="28" spans="1:15" x14ac:dyDescent="0.25">
      <c r="A28" s="80"/>
      <c r="B28" s="80"/>
      <c r="C28" s="80">
        <v>6</v>
      </c>
      <c r="D28" s="124" t="s">
        <v>510</v>
      </c>
      <c r="E28" s="80">
        <v>2.8</v>
      </c>
      <c r="F28" s="80">
        <v>0.8</v>
      </c>
      <c r="G28" s="80">
        <v>0.8</v>
      </c>
      <c r="H28" s="80"/>
      <c r="I28" s="125">
        <f>E28*F28*G28</f>
        <v>1.7919999999999998</v>
      </c>
      <c r="J28" s="80"/>
      <c r="K28" s="80"/>
      <c r="L28" s="80"/>
      <c r="M28" s="80"/>
      <c r="N28" s="80"/>
      <c r="O28" s="80"/>
    </row>
    <row r="29" spans="1:15" x14ac:dyDescent="0.25">
      <c r="A29" s="80"/>
      <c r="B29" s="80"/>
      <c r="C29" s="80">
        <v>7</v>
      </c>
      <c r="D29" s="124" t="s">
        <v>26</v>
      </c>
      <c r="E29" s="80">
        <v>2.71</v>
      </c>
      <c r="F29" s="80">
        <v>0.8</v>
      </c>
      <c r="G29" s="80">
        <v>0.8</v>
      </c>
      <c r="H29" s="80"/>
      <c r="I29" s="125">
        <f>E29*F29*G29</f>
        <v>1.7344000000000002</v>
      </c>
      <c r="J29" s="80"/>
      <c r="K29" s="80"/>
      <c r="L29" s="80"/>
      <c r="M29" s="80"/>
      <c r="N29" s="80"/>
      <c r="O29" s="80"/>
    </row>
    <row r="30" spans="1:15" x14ac:dyDescent="0.25">
      <c r="A30" s="80"/>
      <c r="B30" s="80"/>
      <c r="C30" s="80">
        <v>8</v>
      </c>
      <c r="D30" s="124" t="s">
        <v>26</v>
      </c>
      <c r="E30" s="80">
        <v>2.71</v>
      </c>
      <c r="F30" s="80">
        <v>0.8</v>
      </c>
      <c r="G30" s="80">
        <v>0.8</v>
      </c>
      <c r="H30" s="80"/>
      <c r="I30" s="125">
        <f>E30*F30*G30</f>
        <v>1.7344000000000002</v>
      </c>
      <c r="J30" s="80"/>
      <c r="K30" s="80"/>
      <c r="L30" s="80"/>
      <c r="M30" s="80"/>
      <c r="N30" s="80"/>
      <c r="O30" s="80"/>
    </row>
    <row r="31" spans="1:15" x14ac:dyDescent="0.25">
      <c r="A31" s="80"/>
      <c r="B31" s="80"/>
      <c r="C31" s="80">
        <v>9</v>
      </c>
      <c r="D31" s="124" t="s">
        <v>28</v>
      </c>
      <c r="E31" s="80">
        <v>6.84</v>
      </c>
      <c r="F31" s="80">
        <v>0.8</v>
      </c>
      <c r="G31" s="80">
        <v>0.8</v>
      </c>
      <c r="H31" s="80"/>
      <c r="I31" s="125">
        <f t="shared" si="0"/>
        <v>4.3776000000000002</v>
      </c>
      <c r="J31" s="80"/>
      <c r="K31" s="80"/>
      <c r="L31" s="80"/>
      <c r="M31" s="80"/>
      <c r="N31" s="80"/>
      <c r="O31" s="80"/>
    </row>
    <row r="32" spans="1:15" x14ac:dyDescent="0.25">
      <c r="A32" s="80"/>
      <c r="B32" s="80"/>
      <c r="C32" s="126" t="s">
        <v>16</v>
      </c>
      <c r="D32" s="127" t="s">
        <v>511</v>
      </c>
      <c r="E32" s="80">
        <v>17.920000000000002</v>
      </c>
      <c r="F32" s="80">
        <v>0.8</v>
      </c>
      <c r="G32" s="80">
        <v>0.8</v>
      </c>
      <c r="H32" s="80"/>
      <c r="I32" s="125">
        <f t="shared" si="0"/>
        <v>11.468800000000002</v>
      </c>
      <c r="J32" s="80"/>
      <c r="K32" s="80"/>
      <c r="L32" s="80"/>
      <c r="M32" s="80"/>
      <c r="N32" s="80"/>
      <c r="O32" s="80"/>
    </row>
    <row r="33" spans="1:15" x14ac:dyDescent="0.25">
      <c r="A33" s="80"/>
      <c r="B33" s="80"/>
      <c r="C33" s="126" t="s">
        <v>17</v>
      </c>
      <c r="D33" s="127" t="s">
        <v>512</v>
      </c>
      <c r="E33" s="80">
        <v>15.04</v>
      </c>
      <c r="F33" s="80">
        <v>0.8</v>
      </c>
      <c r="G33" s="80">
        <v>0.8</v>
      </c>
      <c r="H33" s="80"/>
      <c r="I33" s="125">
        <f t="shared" si="0"/>
        <v>9.6256000000000004</v>
      </c>
      <c r="J33" s="80"/>
      <c r="K33" s="80"/>
      <c r="L33" s="80"/>
      <c r="M33" s="80"/>
      <c r="N33" s="80"/>
      <c r="O33" s="80"/>
    </row>
    <row r="34" spans="1:15" x14ac:dyDescent="0.25">
      <c r="A34" s="80"/>
      <c r="B34" s="80"/>
      <c r="C34" s="126" t="s">
        <v>18</v>
      </c>
      <c r="D34" s="124" t="s">
        <v>513</v>
      </c>
      <c r="E34" s="80">
        <v>1.22</v>
      </c>
      <c r="F34" s="80">
        <v>0.8</v>
      </c>
      <c r="G34" s="80">
        <v>0.8</v>
      </c>
      <c r="H34" s="80"/>
      <c r="I34" s="125">
        <f t="shared" si="0"/>
        <v>0.78080000000000005</v>
      </c>
      <c r="J34" s="80"/>
      <c r="K34" s="80"/>
      <c r="L34" s="80"/>
      <c r="M34" s="80"/>
      <c r="N34" s="80"/>
      <c r="O34" s="80"/>
    </row>
    <row r="35" spans="1:15" x14ac:dyDescent="0.25">
      <c r="A35" s="80"/>
      <c r="B35" s="80"/>
      <c r="C35" s="126" t="s">
        <v>19</v>
      </c>
      <c r="D35" s="124" t="s">
        <v>514</v>
      </c>
      <c r="E35" s="80">
        <v>7.61</v>
      </c>
      <c r="F35" s="80">
        <v>0.8</v>
      </c>
      <c r="G35" s="80">
        <v>0.8</v>
      </c>
      <c r="H35" s="80"/>
      <c r="I35" s="125">
        <f t="shared" si="0"/>
        <v>4.870400000000001</v>
      </c>
      <c r="J35" s="80"/>
      <c r="K35" s="80"/>
      <c r="L35" s="80"/>
      <c r="M35" s="80"/>
      <c r="N35" s="80"/>
      <c r="O35" s="80"/>
    </row>
    <row r="36" spans="1:15" x14ac:dyDescent="0.25">
      <c r="A36" s="80"/>
      <c r="B36" s="80"/>
      <c r="C36" s="126" t="s">
        <v>29</v>
      </c>
      <c r="D36" s="127" t="s">
        <v>515</v>
      </c>
      <c r="E36" s="80">
        <v>12.81</v>
      </c>
      <c r="F36" s="80">
        <v>0.8</v>
      </c>
      <c r="G36" s="80">
        <v>0.8</v>
      </c>
      <c r="H36" s="80"/>
      <c r="I36" s="125">
        <f t="shared" si="0"/>
        <v>8.1984000000000012</v>
      </c>
      <c r="J36" s="80"/>
      <c r="K36" s="80"/>
      <c r="L36" s="80"/>
      <c r="M36" s="80"/>
      <c r="N36" s="80"/>
      <c r="O36" s="80"/>
    </row>
    <row r="37" spans="1:15" x14ac:dyDescent="0.25">
      <c r="A37" s="80"/>
      <c r="B37" s="80"/>
      <c r="C37" s="126" t="s">
        <v>396</v>
      </c>
      <c r="D37" s="127" t="s">
        <v>511</v>
      </c>
      <c r="E37" s="80">
        <v>17.72</v>
      </c>
      <c r="F37" s="80">
        <v>0.8</v>
      </c>
      <c r="G37" s="80">
        <v>0.8</v>
      </c>
      <c r="H37" s="80"/>
      <c r="I37" s="125">
        <f t="shared" si="0"/>
        <v>11.340800000000002</v>
      </c>
      <c r="J37" s="80"/>
      <c r="K37" s="80"/>
      <c r="L37" s="80"/>
      <c r="M37" s="80"/>
      <c r="N37" s="80"/>
      <c r="O37" s="80"/>
    </row>
    <row r="38" spans="1:15" x14ac:dyDescent="0.25">
      <c r="A38" s="80"/>
      <c r="B38" s="80"/>
      <c r="C38" s="80"/>
      <c r="D38" s="80"/>
      <c r="E38" s="80"/>
      <c r="F38" s="80"/>
      <c r="G38" s="80"/>
      <c r="H38" s="80"/>
      <c r="I38" s="80"/>
      <c r="J38" s="80"/>
      <c r="K38" s="80"/>
      <c r="L38" s="80"/>
      <c r="M38" s="80"/>
      <c r="N38" s="80"/>
      <c r="O38" s="80"/>
    </row>
    <row r="39" spans="1:15" ht="159" customHeight="1" x14ac:dyDescent="0.25">
      <c r="A39" s="109"/>
      <c r="B39" s="121" t="s">
        <v>27</v>
      </c>
      <c r="C39" s="80"/>
      <c r="D39" s="80"/>
      <c r="E39" s="80"/>
      <c r="F39" s="80"/>
      <c r="G39" s="80"/>
      <c r="H39" s="80"/>
      <c r="I39" s="80"/>
      <c r="J39" s="123">
        <f>I40+I41+I42+I43+I48+I50+I54+I51+I44+I45+I46+I47+I49+I52+I53</f>
        <v>96.744000000000014</v>
      </c>
      <c r="K39" s="113" t="s">
        <v>15</v>
      </c>
      <c r="L39" s="80"/>
      <c r="M39" s="114" t="s">
        <v>355</v>
      </c>
      <c r="N39" s="114"/>
      <c r="O39" s="80"/>
    </row>
    <row r="40" spans="1:15" x14ac:dyDescent="0.25">
      <c r="A40" s="80"/>
      <c r="B40" s="80"/>
      <c r="C40" s="80">
        <v>1</v>
      </c>
      <c r="D40" s="124" t="s">
        <v>506</v>
      </c>
      <c r="E40" s="80">
        <v>20.100000000000001</v>
      </c>
      <c r="F40" s="80">
        <v>0.8</v>
      </c>
      <c r="G40" s="80">
        <v>0.8</v>
      </c>
      <c r="H40" s="80"/>
      <c r="I40" s="125">
        <f>E40*F40</f>
        <v>16.080000000000002</v>
      </c>
      <c r="J40" s="80"/>
      <c r="K40" s="80"/>
      <c r="L40" s="80"/>
      <c r="M40" s="80"/>
      <c r="N40" s="80"/>
      <c r="O40" s="80"/>
    </row>
    <row r="41" spans="1:15" x14ac:dyDescent="0.25">
      <c r="A41" s="80"/>
      <c r="B41" s="80"/>
      <c r="C41" s="80">
        <v>2</v>
      </c>
      <c r="D41" s="124" t="s">
        <v>507</v>
      </c>
      <c r="E41" s="80">
        <v>2.71</v>
      </c>
      <c r="F41" s="80">
        <v>0.8</v>
      </c>
      <c r="G41" s="80">
        <v>0.8</v>
      </c>
      <c r="H41" s="80"/>
      <c r="I41" s="125">
        <f t="shared" ref="I41:I54" si="1">E41*F41</f>
        <v>2.1680000000000001</v>
      </c>
      <c r="J41" s="80"/>
      <c r="K41" s="80"/>
      <c r="L41" s="80"/>
      <c r="M41" s="80"/>
      <c r="N41" s="80"/>
      <c r="O41" s="80"/>
    </row>
    <row r="42" spans="1:15" x14ac:dyDescent="0.25">
      <c r="A42" s="80"/>
      <c r="B42" s="80"/>
      <c r="C42" s="80">
        <v>3</v>
      </c>
      <c r="D42" s="124" t="s">
        <v>508</v>
      </c>
      <c r="E42" s="80">
        <v>4.13</v>
      </c>
      <c r="F42" s="80">
        <v>0.8</v>
      </c>
      <c r="G42" s="80">
        <v>0.8</v>
      </c>
      <c r="H42" s="80"/>
      <c r="I42" s="125">
        <f t="shared" si="1"/>
        <v>3.3040000000000003</v>
      </c>
      <c r="J42" s="80"/>
      <c r="K42" s="80"/>
      <c r="L42" s="80"/>
      <c r="M42" s="80"/>
      <c r="N42" s="80"/>
      <c r="O42" s="80"/>
    </row>
    <row r="43" spans="1:15" x14ac:dyDescent="0.25">
      <c r="A43" s="80"/>
      <c r="B43" s="80"/>
      <c r="C43" s="80">
        <v>4</v>
      </c>
      <c r="D43" s="124" t="s">
        <v>26</v>
      </c>
      <c r="E43" s="80">
        <v>2.57</v>
      </c>
      <c r="F43" s="80">
        <v>0.8</v>
      </c>
      <c r="G43" s="80">
        <v>0.8</v>
      </c>
      <c r="H43" s="80"/>
      <c r="I43" s="125">
        <f t="shared" si="1"/>
        <v>2.056</v>
      </c>
      <c r="J43" s="80"/>
      <c r="K43" s="80"/>
      <c r="L43" s="80"/>
      <c r="M43" s="80"/>
      <c r="N43" s="80"/>
      <c r="O43" s="80"/>
    </row>
    <row r="44" spans="1:15" x14ac:dyDescent="0.25">
      <c r="A44" s="80"/>
      <c r="B44" s="80"/>
      <c r="C44" s="80">
        <v>5</v>
      </c>
      <c r="D44" s="124" t="s">
        <v>509</v>
      </c>
      <c r="E44" s="80">
        <v>4.04</v>
      </c>
      <c r="F44" s="80">
        <v>0.8</v>
      </c>
      <c r="G44" s="80">
        <v>0.8</v>
      </c>
      <c r="H44" s="80"/>
      <c r="I44" s="125">
        <f>E44*F44</f>
        <v>3.2320000000000002</v>
      </c>
      <c r="J44" s="80"/>
      <c r="K44" s="80"/>
      <c r="L44" s="80"/>
      <c r="M44" s="80"/>
      <c r="N44" s="80"/>
      <c r="O44" s="80"/>
    </row>
    <row r="45" spans="1:15" x14ac:dyDescent="0.25">
      <c r="A45" s="80"/>
      <c r="B45" s="80"/>
      <c r="C45" s="80">
        <v>6</v>
      </c>
      <c r="D45" s="124" t="s">
        <v>510</v>
      </c>
      <c r="E45" s="80">
        <v>2.8</v>
      </c>
      <c r="F45" s="80">
        <v>0.8</v>
      </c>
      <c r="G45" s="80">
        <v>0.8</v>
      </c>
      <c r="H45" s="80"/>
      <c r="I45" s="125">
        <f>E45*F45</f>
        <v>2.2399999999999998</v>
      </c>
      <c r="J45" s="80"/>
      <c r="K45" s="80"/>
      <c r="L45" s="80"/>
      <c r="M45" s="80"/>
      <c r="N45" s="80"/>
      <c r="O45" s="80"/>
    </row>
    <row r="46" spans="1:15" x14ac:dyDescent="0.25">
      <c r="A46" s="80"/>
      <c r="B46" s="80"/>
      <c r="C46" s="80">
        <v>7</v>
      </c>
      <c r="D46" s="124" t="s">
        <v>26</v>
      </c>
      <c r="E46" s="80">
        <v>2.71</v>
      </c>
      <c r="F46" s="80">
        <v>0.8</v>
      </c>
      <c r="G46" s="80">
        <v>0.8</v>
      </c>
      <c r="H46" s="80"/>
      <c r="I46" s="125">
        <f>E46*F46</f>
        <v>2.1680000000000001</v>
      </c>
      <c r="J46" s="80"/>
      <c r="K46" s="80"/>
      <c r="L46" s="80"/>
      <c r="M46" s="80"/>
      <c r="N46" s="80"/>
      <c r="O46" s="80"/>
    </row>
    <row r="47" spans="1:15" x14ac:dyDescent="0.25">
      <c r="A47" s="80"/>
      <c r="B47" s="80"/>
      <c r="C47" s="80">
        <v>8</v>
      </c>
      <c r="D47" s="124" t="s">
        <v>26</v>
      </c>
      <c r="E47" s="80">
        <v>2.71</v>
      </c>
      <c r="F47" s="80">
        <v>0.8</v>
      </c>
      <c r="G47" s="80">
        <v>0.8</v>
      </c>
      <c r="H47" s="80"/>
      <c r="I47" s="125">
        <f>E47*F47</f>
        <v>2.1680000000000001</v>
      </c>
      <c r="J47" s="80"/>
      <c r="K47" s="80"/>
      <c r="L47" s="80"/>
      <c r="M47" s="80"/>
      <c r="N47" s="80"/>
      <c r="O47" s="80"/>
    </row>
    <row r="48" spans="1:15" x14ac:dyDescent="0.25">
      <c r="A48" s="80"/>
      <c r="B48" s="80"/>
      <c r="C48" s="80">
        <v>9</v>
      </c>
      <c r="D48" s="124" t="s">
        <v>28</v>
      </c>
      <c r="E48" s="80">
        <v>6.84</v>
      </c>
      <c r="F48" s="80">
        <v>0.8</v>
      </c>
      <c r="G48" s="80">
        <v>0.8</v>
      </c>
      <c r="H48" s="80"/>
      <c r="I48" s="125">
        <f t="shared" si="1"/>
        <v>5.4720000000000004</v>
      </c>
      <c r="J48" s="80"/>
      <c r="K48" s="80"/>
      <c r="L48" s="80"/>
      <c r="M48" s="80"/>
      <c r="N48" s="80"/>
      <c r="O48" s="80"/>
    </row>
    <row r="49" spans="1:15" x14ac:dyDescent="0.25">
      <c r="A49" s="80"/>
      <c r="B49" s="80"/>
      <c r="C49" s="126" t="s">
        <v>16</v>
      </c>
      <c r="D49" s="127" t="s">
        <v>511</v>
      </c>
      <c r="E49" s="80">
        <v>17.920000000000002</v>
      </c>
      <c r="F49" s="80">
        <v>0.8</v>
      </c>
      <c r="G49" s="80">
        <v>0.8</v>
      </c>
      <c r="H49" s="80"/>
      <c r="I49" s="125">
        <f t="shared" si="1"/>
        <v>14.336000000000002</v>
      </c>
      <c r="J49" s="80"/>
      <c r="K49" s="80"/>
      <c r="L49" s="80"/>
      <c r="M49" s="80"/>
      <c r="N49" s="80"/>
      <c r="O49" s="80"/>
    </row>
    <row r="50" spans="1:15" x14ac:dyDescent="0.25">
      <c r="A50" s="80"/>
      <c r="B50" s="80"/>
      <c r="C50" s="126" t="s">
        <v>17</v>
      </c>
      <c r="D50" s="127" t="s">
        <v>512</v>
      </c>
      <c r="E50" s="80">
        <v>15.04</v>
      </c>
      <c r="F50" s="80">
        <v>0.8</v>
      </c>
      <c r="G50" s="80">
        <v>0.8</v>
      </c>
      <c r="H50" s="80"/>
      <c r="I50" s="125">
        <f t="shared" si="1"/>
        <v>12.032</v>
      </c>
      <c r="J50" s="80"/>
      <c r="K50" s="80"/>
      <c r="L50" s="80"/>
      <c r="M50" s="80"/>
      <c r="N50" s="80"/>
      <c r="O50" s="80"/>
    </row>
    <row r="51" spans="1:15" x14ac:dyDescent="0.25">
      <c r="A51" s="80"/>
      <c r="B51" s="80"/>
      <c r="C51" s="126" t="s">
        <v>18</v>
      </c>
      <c r="D51" s="124" t="s">
        <v>513</v>
      </c>
      <c r="E51" s="80">
        <v>1.22</v>
      </c>
      <c r="F51" s="80">
        <v>0.8</v>
      </c>
      <c r="G51" s="80">
        <v>0.8</v>
      </c>
      <c r="H51" s="80"/>
      <c r="I51" s="125">
        <f t="shared" si="1"/>
        <v>0.97599999999999998</v>
      </c>
      <c r="J51" s="80"/>
      <c r="K51" s="80"/>
      <c r="L51" s="80"/>
      <c r="M51" s="80"/>
      <c r="N51" s="80"/>
      <c r="O51" s="80"/>
    </row>
    <row r="52" spans="1:15" x14ac:dyDescent="0.25">
      <c r="A52" s="80"/>
      <c r="B52" s="80"/>
      <c r="C52" s="126" t="s">
        <v>19</v>
      </c>
      <c r="D52" s="124" t="s">
        <v>514</v>
      </c>
      <c r="E52" s="80">
        <v>7.61</v>
      </c>
      <c r="F52" s="80">
        <v>0.8</v>
      </c>
      <c r="G52" s="80">
        <v>0.8</v>
      </c>
      <c r="H52" s="80"/>
      <c r="I52" s="125">
        <f t="shared" si="1"/>
        <v>6.088000000000001</v>
      </c>
      <c r="J52" s="80"/>
      <c r="K52" s="80"/>
      <c r="L52" s="80"/>
      <c r="M52" s="80"/>
      <c r="N52" s="80"/>
      <c r="O52" s="80"/>
    </row>
    <row r="53" spans="1:15" x14ac:dyDescent="0.25">
      <c r="A53" s="80"/>
      <c r="B53" s="80"/>
      <c r="C53" s="126" t="s">
        <v>29</v>
      </c>
      <c r="D53" s="127" t="s">
        <v>515</v>
      </c>
      <c r="E53" s="80">
        <v>12.81</v>
      </c>
      <c r="F53" s="80">
        <v>0.8</v>
      </c>
      <c r="G53" s="80">
        <v>0.8</v>
      </c>
      <c r="H53" s="80"/>
      <c r="I53" s="125">
        <f t="shared" si="1"/>
        <v>10.248000000000001</v>
      </c>
      <c r="J53" s="80"/>
      <c r="K53" s="80"/>
      <c r="L53" s="80"/>
      <c r="M53" s="80"/>
      <c r="N53" s="80"/>
      <c r="O53" s="80"/>
    </row>
    <row r="54" spans="1:15" x14ac:dyDescent="0.25">
      <c r="A54" s="80"/>
      <c r="B54" s="80"/>
      <c r="C54" s="126" t="s">
        <v>396</v>
      </c>
      <c r="D54" s="127" t="s">
        <v>511</v>
      </c>
      <c r="E54" s="80">
        <v>17.72</v>
      </c>
      <c r="F54" s="80">
        <v>0.8</v>
      </c>
      <c r="G54" s="80">
        <v>0.8</v>
      </c>
      <c r="H54" s="80"/>
      <c r="I54" s="125">
        <f t="shared" si="1"/>
        <v>14.176</v>
      </c>
      <c r="J54" s="80"/>
      <c r="K54" s="80"/>
      <c r="L54" s="80"/>
      <c r="M54" s="80"/>
      <c r="N54" s="80"/>
      <c r="O54" s="80"/>
    </row>
    <row r="55" spans="1:15" x14ac:dyDescent="0.25">
      <c r="A55" s="80"/>
      <c r="B55" s="80"/>
      <c r="C55" s="126"/>
      <c r="D55" s="127"/>
      <c r="E55" s="80"/>
      <c r="F55" s="80"/>
      <c r="G55" s="80"/>
      <c r="H55" s="80"/>
      <c r="I55" s="125"/>
      <c r="J55" s="80"/>
      <c r="K55" s="80"/>
      <c r="L55" s="80"/>
      <c r="M55" s="80"/>
      <c r="N55" s="80"/>
      <c r="O55" s="80"/>
    </row>
    <row r="56" spans="1:15" ht="150" x14ac:dyDescent="0.25">
      <c r="A56" s="109"/>
      <c r="B56" s="121" t="s">
        <v>209</v>
      </c>
      <c r="C56" s="80"/>
      <c r="D56" s="80"/>
      <c r="E56" s="80"/>
      <c r="F56" s="80"/>
      <c r="G56" s="80"/>
      <c r="H56" s="80"/>
      <c r="I56" s="80"/>
      <c r="J56" s="123">
        <f>E57+E58+E59+E60+E61+E62+E67+E68+E69+E70+E71+E72+E73+E63+E64+E65+E66</f>
        <v>120.92999999999999</v>
      </c>
      <c r="K56" s="112" t="s">
        <v>21</v>
      </c>
      <c r="L56" s="80"/>
      <c r="M56" s="114" t="s">
        <v>492</v>
      </c>
      <c r="N56" s="114"/>
      <c r="O56" s="80"/>
    </row>
    <row r="57" spans="1:15" ht="15.75" customHeight="1" x14ac:dyDescent="0.25">
      <c r="A57" s="80"/>
      <c r="B57" s="80"/>
      <c r="C57" s="80">
        <v>1</v>
      </c>
      <c r="D57" s="124" t="s">
        <v>506</v>
      </c>
      <c r="E57" s="80">
        <v>20.100000000000001</v>
      </c>
      <c r="F57" s="109">
        <v>0.4</v>
      </c>
      <c r="G57" s="109">
        <v>0.6</v>
      </c>
      <c r="H57" s="80"/>
      <c r="I57" s="125"/>
      <c r="J57" s="80"/>
      <c r="K57" s="80"/>
      <c r="L57" s="80"/>
      <c r="M57" s="80"/>
      <c r="N57" s="80"/>
      <c r="O57" s="80"/>
    </row>
    <row r="58" spans="1:15" x14ac:dyDescent="0.25">
      <c r="A58" s="80"/>
      <c r="B58" s="80"/>
      <c r="C58" s="80">
        <v>2</v>
      </c>
      <c r="D58" s="124" t="s">
        <v>507</v>
      </c>
      <c r="E58" s="80">
        <v>2.71</v>
      </c>
      <c r="F58" s="109">
        <v>0.4</v>
      </c>
      <c r="G58" s="109">
        <v>0.6</v>
      </c>
      <c r="H58" s="80"/>
      <c r="I58" s="125"/>
      <c r="J58" s="80"/>
      <c r="K58" s="80"/>
      <c r="L58" s="80"/>
      <c r="M58" s="80"/>
      <c r="N58" s="80"/>
      <c r="O58" s="80"/>
    </row>
    <row r="59" spans="1:15" x14ac:dyDescent="0.25">
      <c r="A59" s="80"/>
      <c r="B59" s="80"/>
      <c r="C59" s="80">
        <v>3</v>
      </c>
      <c r="D59" s="124" t="s">
        <v>508</v>
      </c>
      <c r="E59" s="80">
        <v>4.13</v>
      </c>
      <c r="F59" s="109">
        <v>0.4</v>
      </c>
      <c r="G59" s="109">
        <v>0.6</v>
      </c>
      <c r="H59" s="80"/>
      <c r="I59" s="125"/>
      <c r="J59" s="80"/>
      <c r="K59" s="80"/>
      <c r="L59" s="80"/>
      <c r="M59" s="80"/>
      <c r="N59" s="80"/>
      <c r="O59" s="80"/>
    </row>
    <row r="60" spans="1:15" x14ac:dyDescent="0.25">
      <c r="A60" s="80"/>
      <c r="B60" s="80"/>
      <c r="C60" s="80">
        <v>4</v>
      </c>
      <c r="D60" s="124" t="s">
        <v>26</v>
      </c>
      <c r="E60" s="80">
        <v>2.57</v>
      </c>
      <c r="F60" s="109">
        <v>0.4</v>
      </c>
      <c r="G60" s="109">
        <v>0.6</v>
      </c>
      <c r="H60" s="80"/>
      <c r="I60" s="125"/>
      <c r="J60" s="80"/>
      <c r="K60" s="80"/>
      <c r="L60" s="80"/>
      <c r="M60" s="80"/>
      <c r="N60" s="80"/>
      <c r="O60" s="80"/>
    </row>
    <row r="61" spans="1:15" x14ac:dyDescent="0.25">
      <c r="A61" s="80"/>
      <c r="B61" s="80"/>
      <c r="C61" s="80">
        <v>5</v>
      </c>
      <c r="D61" s="124" t="s">
        <v>509</v>
      </c>
      <c r="E61" s="80">
        <v>4.04</v>
      </c>
      <c r="F61" s="109">
        <v>0.4</v>
      </c>
      <c r="G61" s="109">
        <v>0.6</v>
      </c>
      <c r="H61" s="80"/>
      <c r="I61" s="125"/>
      <c r="J61" s="80"/>
      <c r="K61" s="80"/>
      <c r="L61" s="80"/>
      <c r="M61" s="80"/>
      <c r="N61" s="80"/>
      <c r="O61" s="80"/>
    </row>
    <row r="62" spans="1:15" x14ac:dyDescent="0.25">
      <c r="A62" s="80"/>
      <c r="B62" s="80"/>
      <c r="C62" s="80">
        <v>6</v>
      </c>
      <c r="D62" s="124" t="s">
        <v>510</v>
      </c>
      <c r="E62" s="80">
        <v>2.8</v>
      </c>
      <c r="F62" s="109">
        <v>0.4</v>
      </c>
      <c r="G62" s="109">
        <v>0.6</v>
      </c>
      <c r="H62" s="80"/>
      <c r="I62" s="125"/>
      <c r="J62" s="80"/>
      <c r="K62" s="80"/>
      <c r="L62" s="80"/>
      <c r="M62" s="80"/>
      <c r="N62" s="80"/>
      <c r="O62" s="80"/>
    </row>
    <row r="63" spans="1:15" x14ac:dyDescent="0.25">
      <c r="A63" s="80"/>
      <c r="B63" s="80"/>
      <c r="C63" s="80">
        <v>7</v>
      </c>
      <c r="D63" s="124" t="s">
        <v>26</v>
      </c>
      <c r="E63" s="80">
        <v>2.71</v>
      </c>
      <c r="F63" s="109">
        <v>0.4</v>
      </c>
      <c r="G63" s="109">
        <v>0.6</v>
      </c>
      <c r="H63" s="80"/>
      <c r="I63" s="125"/>
      <c r="J63" s="80"/>
      <c r="K63" s="80"/>
      <c r="L63" s="80"/>
      <c r="M63" s="80"/>
      <c r="N63" s="80"/>
      <c r="O63" s="80"/>
    </row>
    <row r="64" spans="1:15" x14ac:dyDescent="0.25">
      <c r="A64" s="80"/>
      <c r="B64" s="80"/>
      <c r="C64" s="80">
        <v>8</v>
      </c>
      <c r="D64" s="124" t="s">
        <v>26</v>
      </c>
      <c r="E64" s="80">
        <v>2.71</v>
      </c>
      <c r="F64" s="109">
        <v>0.4</v>
      </c>
      <c r="G64" s="109">
        <v>0.6</v>
      </c>
      <c r="H64" s="80"/>
      <c r="I64" s="125"/>
      <c r="J64" s="80"/>
      <c r="K64" s="80"/>
      <c r="L64" s="80"/>
      <c r="M64" s="80"/>
      <c r="N64" s="80"/>
      <c r="O64" s="80"/>
    </row>
    <row r="65" spans="1:15" x14ac:dyDescent="0.25">
      <c r="A65" s="80"/>
      <c r="B65" s="80"/>
      <c r="C65" s="80">
        <v>9</v>
      </c>
      <c r="D65" s="124" t="s">
        <v>28</v>
      </c>
      <c r="E65" s="80">
        <v>6.84</v>
      </c>
      <c r="F65" s="109">
        <v>0.4</v>
      </c>
      <c r="G65" s="109">
        <v>0.6</v>
      </c>
      <c r="H65" s="80"/>
      <c r="I65" s="125"/>
      <c r="J65" s="80"/>
      <c r="K65" s="80"/>
      <c r="L65" s="80"/>
      <c r="M65" s="80"/>
      <c r="N65" s="80"/>
      <c r="O65" s="80"/>
    </row>
    <row r="66" spans="1:15" x14ac:dyDescent="0.25">
      <c r="A66" s="80"/>
      <c r="B66" s="80"/>
      <c r="C66" s="126" t="s">
        <v>16</v>
      </c>
      <c r="D66" s="127" t="s">
        <v>511</v>
      </c>
      <c r="E66" s="80">
        <v>17.920000000000002</v>
      </c>
      <c r="F66" s="109">
        <v>0.4</v>
      </c>
      <c r="G66" s="109">
        <v>0.6</v>
      </c>
      <c r="H66" s="80"/>
      <c r="I66" s="125"/>
      <c r="J66" s="80"/>
      <c r="K66" s="80"/>
      <c r="L66" s="80"/>
      <c r="M66" s="80"/>
      <c r="N66" s="80"/>
      <c r="O66" s="80"/>
    </row>
    <row r="67" spans="1:15" x14ac:dyDescent="0.25">
      <c r="A67" s="80"/>
      <c r="B67" s="80"/>
      <c r="C67" s="126" t="s">
        <v>17</v>
      </c>
      <c r="D67" s="127" t="s">
        <v>512</v>
      </c>
      <c r="E67" s="80">
        <v>15.04</v>
      </c>
      <c r="F67" s="109">
        <v>0.4</v>
      </c>
      <c r="G67" s="109">
        <v>0.6</v>
      </c>
      <c r="H67" s="80"/>
      <c r="I67" s="125"/>
      <c r="J67" s="80"/>
      <c r="K67" s="80"/>
      <c r="L67" s="80"/>
      <c r="M67" s="80"/>
      <c r="N67" s="80"/>
      <c r="O67" s="80"/>
    </row>
    <row r="68" spans="1:15" ht="15.75" customHeight="1" x14ac:dyDescent="0.25">
      <c r="A68" s="80"/>
      <c r="B68" s="80"/>
      <c r="C68" s="126" t="s">
        <v>18</v>
      </c>
      <c r="D68" s="124" t="s">
        <v>513</v>
      </c>
      <c r="E68" s="80">
        <v>1.22</v>
      </c>
      <c r="F68" s="109">
        <v>0.4</v>
      </c>
      <c r="G68" s="109">
        <v>0.6</v>
      </c>
      <c r="H68" s="80"/>
      <c r="I68" s="125"/>
      <c r="J68" s="80"/>
      <c r="K68" s="80"/>
      <c r="L68" s="80"/>
      <c r="M68" s="80"/>
      <c r="N68" s="80"/>
      <c r="O68" s="80"/>
    </row>
    <row r="69" spans="1:15" x14ac:dyDescent="0.25">
      <c r="A69" s="80"/>
      <c r="B69" s="80"/>
      <c r="C69" s="126" t="s">
        <v>19</v>
      </c>
      <c r="D69" s="124" t="s">
        <v>514</v>
      </c>
      <c r="E69" s="80">
        <v>7.61</v>
      </c>
      <c r="F69" s="109">
        <v>0.4</v>
      </c>
      <c r="G69" s="109">
        <v>0.6</v>
      </c>
      <c r="H69" s="80"/>
      <c r="I69" s="125"/>
      <c r="J69" s="80"/>
      <c r="K69" s="80"/>
      <c r="L69" s="80"/>
      <c r="M69" s="80"/>
      <c r="N69" s="80"/>
      <c r="O69" s="80"/>
    </row>
    <row r="70" spans="1:15" x14ac:dyDescent="0.25">
      <c r="A70" s="80"/>
      <c r="B70" s="80"/>
      <c r="C70" s="126" t="s">
        <v>29</v>
      </c>
      <c r="D70" s="127" t="s">
        <v>515</v>
      </c>
      <c r="E70" s="80">
        <v>12.81</v>
      </c>
      <c r="F70" s="109">
        <v>0.4</v>
      </c>
      <c r="G70" s="109">
        <v>0.6</v>
      </c>
      <c r="H70" s="80"/>
      <c r="I70" s="125"/>
      <c r="J70" s="80"/>
      <c r="K70" s="80"/>
      <c r="L70" s="80"/>
      <c r="M70" s="80"/>
      <c r="N70" s="80"/>
      <c r="O70" s="80"/>
    </row>
    <row r="71" spans="1:15" x14ac:dyDescent="0.25">
      <c r="A71" s="80"/>
      <c r="B71" s="80"/>
      <c r="C71" s="126" t="s">
        <v>396</v>
      </c>
      <c r="D71" s="127" t="s">
        <v>511</v>
      </c>
      <c r="E71" s="80">
        <v>17.72</v>
      </c>
      <c r="F71" s="109">
        <v>0.4</v>
      </c>
      <c r="G71" s="109">
        <v>0.6</v>
      </c>
      <c r="H71" s="80"/>
      <c r="I71" s="125"/>
      <c r="J71" s="80"/>
      <c r="K71" s="80"/>
      <c r="L71" s="80"/>
      <c r="M71" s="80"/>
      <c r="N71" s="80"/>
      <c r="O71" s="80"/>
    </row>
    <row r="72" spans="1:15" x14ac:dyDescent="0.25">
      <c r="A72" s="80"/>
      <c r="B72" s="80"/>
      <c r="C72" s="109"/>
      <c r="D72" s="119"/>
      <c r="E72" s="109"/>
      <c r="F72" s="109"/>
      <c r="G72" s="109"/>
      <c r="H72" s="80"/>
      <c r="I72" s="125"/>
      <c r="J72" s="80"/>
      <c r="K72" s="80"/>
      <c r="L72" s="80"/>
      <c r="M72" s="80"/>
      <c r="N72" s="80"/>
      <c r="O72" s="80"/>
    </row>
    <row r="73" spans="1:15" x14ac:dyDescent="0.25">
      <c r="A73" s="80"/>
      <c r="B73" s="80"/>
      <c r="C73" s="109"/>
      <c r="D73" s="119"/>
      <c r="E73" s="109"/>
      <c r="F73" s="109"/>
      <c r="G73" s="109"/>
      <c r="H73" s="80"/>
      <c r="I73" s="125"/>
      <c r="J73" s="80"/>
      <c r="K73" s="80"/>
      <c r="L73" s="80"/>
      <c r="M73" s="80"/>
      <c r="N73" s="80"/>
      <c r="O73" s="80"/>
    </row>
    <row r="74" spans="1:15" ht="154.5" customHeight="1" x14ac:dyDescent="0.25">
      <c r="A74" s="109"/>
      <c r="B74" s="121" t="s">
        <v>22</v>
      </c>
      <c r="C74" s="80"/>
      <c r="D74" s="80"/>
      <c r="E74" s="80"/>
      <c r="F74" s="80"/>
      <c r="G74" s="80"/>
      <c r="H74" s="80"/>
      <c r="I74" s="80"/>
      <c r="J74" s="123">
        <f>I75+I76+I77+I78+I79+I80+I81+I82+I83+I84+I85+I86+I87+I88+I89</f>
        <v>48.372</v>
      </c>
      <c r="K74" s="112" t="s">
        <v>23</v>
      </c>
      <c r="L74" s="80"/>
      <c r="M74" s="114" t="s">
        <v>356</v>
      </c>
      <c r="N74" s="114"/>
      <c r="O74" s="80"/>
    </row>
    <row r="75" spans="1:15" x14ac:dyDescent="0.25">
      <c r="A75" s="80"/>
      <c r="B75" s="80"/>
      <c r="C75" s="80">
        <v>1</v>
      </c>
      <c r="D75" s="124" t="s">
        <v>506</v>
      </c>
      <c r="E75" s="80">
        <v>20.100000000000001</v>
      </c>
      <c r="F75" s="109">
        <v>0.4</v>
      </c>
      <c r="G75" s="109"/>
      <c r="H75" s="80"/>
      <c r="I75" s="125">
        <f>E75*F75</f>
        <v>8.0400000000000009</v>
      </c>
      <c r="J75" s="80"/>
      <c r="K75" s="80"/>
      <c r="L75" s="80"/>
      <c r="M75" s="80"/>
      <c r="N75" s="80"/>
      <c r="O75" s="80"/>
    </row>
    <row r="76" spans="1:15" x14ac:dyDescent="0.25">
      <c r="A76" s="80"/>
      <c r="B76" s="80"/>
      <c r="C76" s="80">
        <v>2</v>
      </c>
      <c r="D76" s="124" t="s">
        <v>507</v>
      </c>
      <c r="E76" s="80">
        <v>2.71</v>
      </c>
      <c r="F76" s="109">
        <v>0.4</v>
      </c>
      <c r="G76" s="109"/>
      <c r="H76" s="80"/>
      <c r="I76" s="125">
        <f t="shared" ref="I76:I89" si="2">E76*F76</f>
        <v>1.0840000000000001</v>
      </c>
      <c r="J76" s="80"/>
      <c r="K76" s="80"/>
      <c r="L76" s="80"/>
      <c r="M76" s="80"/>
      <c r="N76" s="80"/>
      <c r="O76" s="80"/>
    </row>
    <row r="77" spans="1:15" x14ac:dyDescent="0.25">
      <c r="A77" s="80"/>
      <c r="B77" s="80"/>
      <c r="C77" s="80">
        <v>3</v>
      </c>
      <c r="D77" s="124" t="s">
        <v>508</v>
      </c>
      <c r="E77" s="80">
        <v>4.13</v>
      </c>
      <c r="F77" s="109">
        <v>0.4</v>
      </c>
      <c r="G77" s="109"/>
      <c r="H77" s="80"/>
      <c r="I77" s="125">
        <f t="shared" si="2"/>
        <v>1.6520000000000001</v>
      </c>
      <c r="J77" s="80"/>
      <c r="K77" s="80"/>
      <c r="L77" s="80"/>
      <c r="M77" s="80"/>
      <c r="N77" s="80"/>
      <c r="O77" s="80"/>
    </row>
    <row r="78" spans="1:15" x14ac:dyDescent="0.25">
      <c r="A78" s="80"/>
      <c r="B78" s="80"/>
      <c r="C78" s="80">
        <v>4</v>
      </c>
      <c r="D78" s="124" t="s">
        <v>26</v>
      </c>
      <c r="E78" s="80">
        <v>2.57</v>
      </c>
      <c r="F78" s="109">
        <v>0.4</v>
      </c>
      <c r="G78" s="109"/>
      <c r="H78" s="80"/>
      <c r="I78" s="125">
        <f t="shared" si="2"/>
        <v>1.028</v>
      </c>
      <c r="J78" s="80"/>
      <c r="K78" s="80"/>
      <c r="L78" s="80"/>
      <c r="M78" s="80"/>
      <c r="N78" s="80"/>
      <c r="O78" s="80"/>
    </row>
    <row r="79" spans="1:15" x14ac:dyDescent="0.25">
      <c r="A79" s="80"/>
      <c r="B79" s="80"/>
      <c r="C79" s="80">
        <v>5</v>
      </c>
      <c r="D79" s="124" t="s">
        <v>509</v>
      </c>
      <c r="E79" s="80">
        <v>4.04</v>
      </c>
      <c r="F79" s="109">
        <v>0.4</v>
      </c>
      <c r="G79" s="109"/>
      <c r="H79" s="80"/>
      <c r="I79" s="125">
        <f t="shared" si="2"/>
        <v>1.6160000000000001</v>
      </c>
      <c r="J79" s="80"/>
      <c r="K79" s="80"/>
      <c r="L79" s="80"/>
      <c r="M79" s="80"/>
      <c r="N79" s="80"/>
      <c r="O79" s="80"/>
    </row>
    <row r="80" spans="1:15" x14ac:dyDescent="0.25">
      <c r="A80" s="80"/>
      <c r="B80" s="80"/>
      <c r="C80" s="80">
        <v>6</v>
      </c>
      <c r="D80" s="124" t="s">
        <v>510</v>
      </c>
      <c r="E80" s="80">
        <v>2.8</v>
      </c>
      <c r="F80" s="109">
        <v>0.4</v>
      </c>
      <c r="G80" s="109"/>
      <c r="H80" s="80"/>
      <c r="I80" s="125">
        <f t="shared" si="2"/>
        <v>1.1199999999999999</v>
      </c>
      <c r="J80" s="80"/>
      <c r="K80" s="80"/>
      <c r="L80" s="80"/>
      <c r="M80" s="80"/>
      <c r="N80" s="80"/>
      <c r="O80" s="80"/>
    </row>
    <row r="81" spans="1:15" x14ac:dyDescent="0.25">
      <c r="A81" s="80"/>
      <c r="B81" s="80"/>
      <c r="C81" s="80">
        <v>7</v>
      </c>
      <c r="D81" s="124" t="s">
        <v>26</v>
      </c>
      <c r="E81" s="80">
        <v>2.71</v>
      </c>
      <c r="F81" s="109">
        <v>0.4</v>
      </c>
      <c r="G81" s="109"/>
      <c r="H81" s="80"/>
      <c r="I81" s="125">
        <f t="shared" si="2"/>
        <v>1.0840000000000001</v>
      </c>
      <c r="J81" s="80"/>
      <c r="K81" s="80"/>
      <c r="L81" s="80"/>
      <c r="M81" s="80"/>
      <c r="N81" s="80"/>
      <c r="O81" s="80"/>
    </row>
    <row r="82" spans="1:15" x14ac:dyDescent="0.25">
      <c r="A82" s="80"/>
      <c r="B82" s="80"/>
      <c r="C82" s="80">
        <v>8</v>
      </c>
      <c r="D82" s="124" t="s">
        <v>26</v>
      </c>
      <c r="E82" s="80">
        <v>2.71</v>
      </c>
      <c r="F82" s="109">
        <v>0.4</v>
      </c>
      <c r="G82" s="109"/>
      <c r="H82" s="80"/>
      <c r="I82" s="125">
        <f t="shared" si="2"/>
        <v>1.0840000000000001</v>
      </c>
      <c r="J82" s="80"/>
      <c r="K82" s="80"/>
      <c r="L82" s="80"/>
      <c r="M82" s="80"/>
      <c r="N82" s="80"/>
      <c r="O82" s="80"/>
    </row>
    <row r="83" spans="1:15" x14ac:dyDescent="0.25">
      <c r="A83" s="80"/>
      <c r="B83" s="80"/>
      <c r="C83" s="80">
        <v>9</v>
      </c>
      <c r="D83" s="124" t="s">
        <v>28</v>
      </c>
      <c r="E83" s="80">
        <v>6.84</v>
      </c>
      <c r="F83" s="109">
        <v>0.4</v>
      </c>
      <c r="G83" s="109"/>
      <c r="H83" s="80"/>
      <c r="I83" s="125">
        <f t="shared" si="2"/>
        <v>2.7360000000000002</v>
      </c>
      <c r="J83" s="80"/>
      <c r="K83" s="80"/>
      <c r="L83" s="80"/>
      <c r="M83" s="80"/>
      <c r="N83" s="80"/>
      <c r="O83" s="80"/>
    </row>
    <row r="84" spans="1:15" x14ac:dyDescent="0.25">
      <c r="A84" s="80"/>
      <c r="B84" s="80"/>
      <c r="C84" s="126" t="s">
        <v>16</v>
      </c>
      <c r="D84" s="127" t="s">
        <v>511</v>
      </c>
      <c r="E84" s="80">
        <v>17.920000000000002</v>
      </c>
      <c r="F84" s="109">
        <v>0.4</v>
      </c>
      <c r="G84" s="109"/>
      <c r="H84" s="80"/>
      <c r="I84" s="125">
        <f t="shared" si="2"/>
        <v>7.168000000000001</v>
      </c>
      <c r="J84" s="80"/>
      <c r="K84" s="80"/>
      <c r="L84" s="80"/>
      <c r="M84" s="80"/>
      <c r="N84" s="80"/>
      <c r="O84" s="80"/>
    </row>
    <row r="85" spans="1:15" x14ac:dyDescent="0.25">
      <c r="A85" s="80"/>
      <c r="B85" s="80"/>
      <c r="C85" s="126" t="s">
        <v>17</v>
      </c>
      <c r="D85" s="127" t="s">
        <v>512</v>
      </c>
      <c r="E85" s="80">
        <v>15.04</v>
      </c>
      <c r="F85" s="109">
        <v>0.4</v>
      </c>
      <c r="G85" s="109"/>
      <c r="H85" s="80"/>
      <c r="I85" s="125">
        <f t="shared" si="2"/>
        <v>6.016</v>
      </c>
      <c r="J85" s="80"/>
      <c r="K85" s="80"/>
      <c r="L85" s="80"/>
      <c r="M85" s="80"/>
      <c r="N85" s="80"/>
      <c r="O85" s="80"/>
    </row>
    <row r="86" spans="1:15" x14ac:dyDescent="0.25">
      <c r="A86" s="80"/>
      <c r="B86" s="80"/>
      <c r="C86" s="126" t="s">
        <v>18</v>
      </c>
      <c r="D86" s="124" t="s">
        <v>513</v>
      </c>
      <c r="E86" s="80">
        <v>1.22</v>
      </c>
      <c r="F86" s="109">
        <v>0.4</v>
      </c>
      <c r="G86" s="109"/>
      <c r="H86" s="80"/>
      <c r="I86" s="125">
        <f t="shared" si="2"/>
        <v>0.48799999999999999</v>
      </c>
      <c r="J86" s="80"/>
      <c r="K86" s="80"/>
      <c r="L86" s="80"/>
      <c r="M86" s="80"/>
      <c r="N86" s="80"/>
      <c r="O86" s="80"/>
    </row>
    <row r="87" spans="1:15" x14ac:dyDescent="0.25">
      <c r="A87" s="80"/>
      <c r="B87" s="80"/>
      <c r="C87" s="126" t="s">
        <v>19</v>
      </c>
      <c r="D87" s="124" t="s">
        <v>514</v>
      </c>
      <c r="E87" s="80">
        <v>7.61</v>
      </c>
      <c r="F87" s="109">
        <v>0.4</v>
      </c>
      <c r="G87" s="109"/>
      <c r="H87" s="80"/>
      <c r="I87" s="125">
        <f t="shared" si="2"/>
        <v>3.0440000000000005</v>
      </c>
      <c r="J87" s="80"/>
      <c r="K87" s="80"/>
      <c r="L87" s="80"/>
      <c r="M87" s="80"/>
      <c r="N87" s="80"/>
      <c r="O87" s="80"/>
    </row>
    <row r="88" spans="1:15" x14ac:dyDescent="0.25">
      <c r="A88" s="80"/>
      <c r="B88" s="80"/>
      <c r="C88" s="126" t="s">
        <v>29</v>
      </c>
      <c r="D88" s="127" t="s">
        <v>515</v>
      </c>
      <c r="E88" s="80">
        <v>12.81</v>
      </c>
      <c r="F88" s="109">
        <v>0.4</v>
      </c>
      <c r="G88" s="109"/>
      <c r="H88" s="80"/>
      <c r="I88" s="125">
        <f t="shared" si="2"/>
        <v>5.1240000000000006</v>
      </c>
      <c r="J88" s="80"/>
      <c r="K88" s="80"/>
      <c r="L88" s="80"/>
      <c r="M88" s="80"/>
      <c r="N88" s="80"/>
      <c r="O88" s="80"/>
    </row>
    <row r="89" spans="1:15" x14ac:dyDescent="0.25">
      <c r="A89" s="80"/>
      <c r="B89" s="80"/>
      <c r="C89" s="126" t="s">
        <v>396</v>
      </c>
      <c r="D89" s="127" t="s">
        <v>511</v>
      </c>
      <c r="E89" s="80">
        <v>17.72</v>
      </c>
      <c r="F89" s="109">
        <v>0.4</v>
      </c>
      <c r="G89" s="109"/>
      <c r="H89" s="80"/>
      <c r="I89" s="125">
        <f t="shared" si="2"/>
        <v>7.0880000000000001</v>
      </c>
      <c r="J89" s="80"/>
      <c r="K89" s="80"/>
      <c r="L89" s="80"/>
      <c r="M89" s="80"/>
      <c r="N89" s="80"/>
      <c r="O89" s="80"/>
    </row>
    <row r="90" spans="1:15" x14ac:dyDescent="0.25">
      <c r="A90" s="80"/>
      <c r="B90" s="80"/>
      <c r="C90" s="109"/>
      <c r="D90" s="119"/>
      <c r="E90" s="109"/>
      <c r="F90" s="109"/>
      <c r="G90" s="109"/>
      <c r="H90" s="80"/>
      <c r="I90" s="125"/>
      <c r="J90" s="80"/>
      <c r="K90" s="80"/>
      <c r="L90" s="80"/>
      <c r="M90" s="80"/>
      <c r="N90" s="80"/>
      <c r="O90" s="80"/>
    </row>
    <row r="91" spans="1:15" x14ac:dyDescent="0.25">
      <c r="A91" s="146" t="s">
        <v>30</v>
      </c>
      <c r="B91" s="146"/>
      <c r="C91" s="146"/>
      <c r="D91" s="146"/>
      <c r="E91" s="146"/>
      <c r="F91" s="146"/>
      <c r="G91" s="146"/>
      <c r="H91" s="146"/>
      <c r="I91" s="146"/>
      <c r="J91" s="146"/>
      <c r="K91" s="146"/>
      <c r="L91" s="146"/>
      <c r="M91" s="146"/>
      <c r="N91" s="146"/>
      <c r="O91" s="80"/>
    </row>
    <row r="92" spans="1:15" ht="30" x14ac:dyDescent="0.25">
      <c r="A92" s="105" t="s">
        <v>1</v>
      </c>
      <c r="B92" s="105" t="s">
        <v>2</v>
      </c>
      <c r="C92" s="105" t="s">
        <v>3</v>
      </c>
      <c r="D92" s="105" t="s">
        <v>4</v>
      </c>
      <c r="E92" s="105" t="s">
        <v>5</v>
      </c>
      <c r="F92" s="105" t="s">
        <v>6</v>
      </c>
      <c r="G92" s="105" t="s">
        <v>7</v>
      </c>
      <c r="H92" s="105" t="s">
        <v>8</v>
      </c>
      <c r="I92" s="105" t="s">
        <v>9</v>
      </c>
      <c r="J92" s="105" t="s">
        <v>12</v>
      </c>
      <c r="K92" s="105" t="s">
        <v>11</v>
      </c>
      <c r="L92" s="105" t="s">
        <v>10</v>
      </c>
      <c r="M92" s="106" t="s">
        <v>353</v>
      </c>
      <c r="N92" s="105" t="s">
        <v>351</v>
      </c>
      <c r="O92" s="80"/>
    </row>
    <row r="93" spans="1:15" ht="131.25" customHeight="1" x14ac:dyDescent="0.25">
      <c r="A93" s="109"/>
      <c r="B93" s="121" t="s">
        <v>90</v>
      </c>
      <c r="C93" s="80"/>
      <c r="D93" s="80"/>
      <c r="E93" s="80"/>
      <c r="F93" s="80"/>
      <c r="G93" s="80"/>
      <c r="H93" s="80"/>
      <c r="I93" s="80"/>
      <c r="J93" s="112">
        <v>0.75</v>
      </c>
      <c r="K93" s="113" t="s">
        <v>23</v>
      </c>
      <c r="L93" s="80"/>
      <c r="M93" s="114" t="s">
        <v>354</v>
      </c>
      <c r="N93" s="114"/>
      <c r="O93" s="80"/>
    </row>
    <row r="94" spans="1:15" ht="103.5" customHeight="1" x14ac:dyDescent="0.25">
      <c r="A94" s="109"/>
      <c r="B94" s="128" t="s">
        <v>91</v>
      </c>
      <c r="C94" s="109"/>
      <c r="D94" s="119"/>
      <c r="E94" s="109"/>
      <c r="F94" s="109"/>
      <c r="G94" s="109"/>
      <c r="H94" s="80"/>
      <c r="I94" s="125"/>
      <c r="J94" s="112">
        <v>21.8</v>
      </c>
      <c r="K94" s="112" t="s">
        <v>139</v>
      </c>
      <c r="L94" s="80"/>
      <c r="M94" s="114" t="s">
        <v>369</v>
      </c>
      <c r="N94" s="114"/>
      <c r="O94" s="80"/>
    </row>
    <row r="95" spans="1:15" ht="170.25" customHeight="1" x14ac:dyDescent="0.25">
      <c r="A95" s="109"/>
      <c r="B95" s="121" t="s">
        <v>33</v>
      </c>
      <c r="C95" s="109"/>
      <c r="D95" s="119"/>
      <c r="E95" s="109"/>
      <c r="F95" s="109"/>
      <c r="G95" s="109"/>
      <c r="H95" s="109">
        <v>2</v>
      </c>
      <c r="I95" s="125"/>
      <c r="J95" s="112">
        <f>H95</f>
        <v>2</v>
      </c>
      <c r="K95" s="112" t="s">
        <v>34</v>
      </c>
      <c r="L95" s="80"/>
      <c r="M95" s="114" t="s">
        <v>359</v>
      </c>
      <c r="N95" s="114"/>
      <c r="O95" s="80"/>
    </row>
    <row r="96" spans="1:15" x14ac:dyDescent="0.25">
      <c r="A96" s="146" t="s">
        <v>24</v>
      </c>
      <c r="B96" s="146"/>
      <c r="C96" s="146"/>
      <c r="D96" s="146"/>
      <c r="E96" s="146"/>
      <c r="F96" s="146"/>
      <c r="G96" s="146"/>
      <c r="H96" s="146"/>
      <c r="I96" s="146"/>
      <c r="J96" s="146"/>
      <c r="K96" s="146"/>
      <c r="L96" s="146"/>
      <c r="M96" s="146"/>
      <c r="N96" s="146"/>
      <c r="O96" s="80"/>
    </row>
    <row r="97" spans="1:15" ht="30" x14ac:dyDescent="0.25">
      <c r="A97" s="105" t="s">
        <v>1</v>
      </c>
      <c r="B97" s="105" t="s">
        <v>2</v>
      </c>
      <c r="C97" s="105" t="s">
        <v>3</v>
      </c>
      <c r="D97" s="105" t="s">
        <v>4</v>
      </c>
      <c r="E97" s="105" t="s">
        <v>5</v>
      </c>
      <c r="F97" s="105" t="s">
        <v>6</v>
      </c>
      <c r="G97" s="105" t="s">
        <v>7</v>
      </c>
      <c r="H97" s="105" t="s">
        <v>8</v>
      </c>
      <c r="I97" s="105" t="s">
        <v>9</v>
      </c>
      <c r="J97" s="105" t="s">
        <v>12</v>
      </c>
      <c r="K97" s="105" t="s">
        <v>11</v>
      </c>
      <c r="L97" s="105" t="s">
        <v>10</v>
      </c>
      <c r="M97" s="106" t="s">
        <v>353</v>
      </c>
      <c r="N97" s="105" t="s">
        <v>351</v>
      </c>
      <c r="O97" s="80"/>
    </row>
    <row r="98" spans="1:15" ht="190.5" customHeight="1" x14ac:dyDescent="0.25">
      <c r="A98" s="109"/>
      <c r="B98" s="121" t="s">
        <v>525</v>
      </c>
      <c r="C98" s="80"/>
      <c r="D98" s="80"/>
      <c r="E98" s="80"/>
      <c r="F98" s="80"/>
      <c r="G98" s="80"/>
      <c r="H98" s="80"/>
      <c r="I98" s="80"/>
      <c r="J98" s="123">
        <f>J99+I101+I100</f>
        <v>82.61</v>
      </c>
      <c r="K98" s="113" t="s">
        <v>15</v>
      </c>
      <c r="L98" s="80"/>
      <c r="M98" s="114" t="s">
        <v>360</v>
      </c>
      <c r="N98" s="114"/>
      <c r="O98" s="80"/>
    </row>
    <row r="99" spans="1:15" ht="156" customHeight="1" x14ac:dyDescent="0.25">
      <c r="A99" s="80"/>
      <c r="B99" s="121" t="s">
        <v>532</v>
      </c>
      <c r="C99" s="109"/>
      <c r="D99" s="80"/>
      <c r="E99" s="109"/>
      <c r="F99" s="109"/>
      <c r="G99" s="80"/>
      <c r="H99" s="80"/>
      <c r="I99" s="80"/>
      <c r="J99" s="112">
        <v>82.61</v>
      </c>
      <c r="K99" s="113" t="s">
        <v>15</v>
      </c>
      <c r="L99" s="80"/>
      <c r="M99" s="114" t="s">
        <v>360</v>
      </c>
      <c r="N99" s="114"/>
      <c r="O99" s="80"/>
    </row>
    <row r="100" spans="1:15" ht="144" customHeight="1" x14ac:dyDescent="0.25">
      <c r="A100" s="80"/>
      <c r="B100" s="121" t="s">
        <v>542</v>
      </c>
      <c r="C100" s="109"/>
      <c r="D100" s="80"/>
      <c r="E100" s="109"/>
      <c r="F100" s="109"/>
      <c r="G100" s="80"/>
      <c r="H100" s="80"/>
      <c r="I100" s="80"/>
      <c r="J100" s="80"/>
      <c r="K100" s="80"/>
      <c r="L100" s="80"/>
      <c r="M100" s="80"/>
      <c r="N100" s="80"/>
      <c r="O100" s="80"/>
    </row>
    <row r="101" spans="1:15" x14ac:dyDescent="0.25">
      <c r="A101" s="80"/>
      <c r="B101" s="80"/>
      <c r="C101" s="109"/>
      <c r="D101" s="80"/>
      <c r="E101" s="109"/>
      <c r="F101" s="109"/>
      <c r="G101" s="80"/>
      <c r="H101" s="80"/>
      <c r="I101" s="80"/>
      <c r="J101" s="80"/>
      <c r="K101" s="80"/>
      <c r="L101" s="80"/>
      <c r="M101" s="80"/>
      <c r="N101" s="80"/>
      <c r="O101" s="80"/>
    </row>
    <row r="102" spans="1:15" x14ac:dyDescent="0.25">
      <c r="A102" s="144" t="s">
        <v>31</v>
      </c>
      <c r="B102" s="144"/>
      <c r="C102" s="144"/>
      <c r="D102" s="144"/>
      <c r="E102" s="144"/>
      <c r="F102" s="144"/>
      <c r="G102" s="144"/>
      <c r="H102" s="144"/>
      <c r="I102" s="144"/>
      <c r="J102" s="144"/>
      <c r="K102" s="144"/>
      <c r="L102" s="144"/>
      <c r="M102" s="144"/>
      <c r="N102" s="144"/>
      <c r="O102" s="80"/>
    </row>
    <row r="103" spans="1:15" ht="30" x14ac:dyDescent="0.25">
      <c r="A103" s="105" t="s">
        <v>1</v>
      </c>
      <c r="B103" s="105" t="s">
        <v>2</v>
      </c>
      <c r="C103" s="105" t="s">
        <v>3</v>
      </c>
      <c r="D103" s="105" t="s">
        <v>4</v>
      </c>
      <c r="E103" s="105" t="s">
        <v>5</v>
      </c>
      <c r="F103" s="105" t="s">
        <v>6</v>
      </c>
      <c r="G103" s="105" t="s">
        <v>7</v>
      </c>
      <c r="H103" s="105" t="s">
        <v>8</v>
      </c>
      <c r="I103" s="105" t="s">
        <v>9</v>
      </c>
      <c r="J103" s="105" t="s">
        <v>12</v>
      </c>
      <c r="K103" s="105" t="s">
        <v>11</v>
      </c>
      <c r="L103" s="105" t="s">
        <v>10</v>
      </c>
      <c r="M103" s="106" t="s">
        <v>353</v>
      </c>
      <c r="N103" s="105" t="s">
        <v>351</v>
      </c>
      <c r="O103" s="80"/>
    </row>
    <row r="104" spans="1:15" ht="153" customHeight="1" x14ac:dyDescent="0.25">
      <c r="A104" s="109"/>
      <c r="B104" s="121" t="s">
        <v>211</v>
      </c>
      <c r="C104" s="80"/>
      <c r="D104" s="80"/>
      <c r="E104" s="80"/>
      <c r="F104" s="80"/>
      <c r="G104" s="80"/>
      <c r="H104" s="80"/>
      <c r="I104" s="80"/>
      <c r="J104" s="112">
        <f>I106+I107+I108+I109+I110+I111+I112+I113+I114+I115+I116+I117+I136+I119+I118+I120-17.26+I123+I124+I125+I126+I127+I128+I129+I130+I131+I132+I133+I134+I135</f>
        <v>471.34000000000003</v>
      </c>
      <c r="K104" s="113" t="s">
        <v>15</v>
      </c>
      <c r="L104" s="122" t="s">
        <v>92</v>
      </c>
      <c r="M104" s="114" t="s">
        <v>361</v>
      </c>
      <c r="N104" s="114"/>
      <c r="O104" s="80"/>
    </row>
    <row r="105" spans="1:15" x14ac:dyDescent="0.25">
      <c r="A105" s="109"/>
      <c r="B105" s="121" t="s">
        <v>522</v>
      </c>
      <c r="C105" s="80"/>
      <c r="D105" s="80"/>
      <c r="E105" s="80"/>
      <c r="F105" s="80"/>
      <c r="G105" s="80"/>
      <c r="H105" s="80"/>
      <c r="I105" s="80"/>
      <c r="J105" s="112"/>
      <c r="K105" s="113"/>
      <c r="L105" s="122"/>
      <c r="M105" s="114"/>
      <c r="N105" s="114"/>
      <c r="O105" s="80"/>
    </row>
    <row r="106" spans="1:15" x14ac:dyDescent="0.25">
      <c r="A106" s="80"/>
      <c r="B106" s="80"/>
      <c r="C106" s="80">
        <v>1</v>
      </c>
      <c r="D106" s="124" t="s">
        <v>506</v>
      </c>
      <c r="E106" s="80">
        <v>20.100000000000001</v>
      </c>
      <c r="F106" s="80"/>
      <c r="G106" s="124">
        <v>2.5</v>
      </c>
      <c r="H106" s="80"/>
      <c r="I106" s="80">
        <f>E106*G106</f>
        <v>50.25</v>
      </c>
      <c r="J106" s="80"/>
      <c r="K106" s="80"/>
      <c r="L106" s="80"/>
      <c r="M106" s="80"/>
      <c r="N106" s="80"/>
      <c r="O106" s="80"/>
    </row>
    <row r="107" spans="1:15" x14ac:dyDescent="0.25">
      <c r="A107" s="80"/>
      <c r="B107" s="80"/>
      <c r="C107" s="80">
        <v>2</v>
      </c>
      <c r="D107" s="124" t="s">
        <v>507</v>
      </c>
      <c r="E107" s="80">
        <v>2.71</v>
      </c>
      <c r="F107" s="80"/>
      <c r="G107" s="124">
        <v>2.5</v>
      </c>
      <c r="H107" s="80"/>
      <c r="I107" s="80">
        <f t="shared" ref="I107:I120" si="3">E107*G107</f>
        <v>6.7750000000000004</v>
      </c>
      <c r="J107" s="80"/>
      <c r="K107" s="80"/>
      <c r="L107" s="80"/>
      <c r="M107" s="80"/>
      <c r="N107" s="80"/>
      <c r="O107" s="80"/>
    </row>
    <row r="108" spans="1:15" x14ac:dyDescent="0.25">
      <c r="A108" s="80"/>
      <c r="B108" s="80"/>
      <c r="C108" s="80">
        <v>3</v>
      </c>
      <c r="D108" s="124" t="s">
        <v>508</v>
      </c>
      <c r="E108" s="80">
        <v>4.13</v>
      </c>
      <c r="F108" s="80"/>
      <c r="G108" s="124">
        <v>2.5</v>
      </c>
      <c r="H108" s="80"/>
      <c r="I108" s="80">
        <f t="shared" si="3"/>
        <v>10.324999999999999</v>
      </c>
      <c r="J108" s="80"/>
      <c r="K108" s="80"/>
      <c r="L108" s="80"/>
      <c r="M108" s="80"/>
      <c r="N108" s="80"/>
      <c r="O108" s="80"/>
    </row>
    <row r="109" spans="1:15" x14ac:dyDescent="0.25">
      <c r="A109" s="80"/>
      <c r="B109" s="80"/>
      <c r="C109" s="80">
        <v>4</v>
      </c>
      <c r="D109" s="124" t="s">
        <v>26</v>
      </c>
      <c r="E109" s="80">
        <v>2.57</v>
      </c>
      <c r="F109" s="80"/>
      <c r="G109" s="124">
        <v>2.5</v>
      </c>
      <c r="H109" s="80"/>
      <c r="I109" s="80">
        <f t="shared" si="3"/>
        <v>6.4249999999999998</v>
      </c>
      <c r="J109" s="80"/>
      <c r="K109" s="80"/>
      <c r="L109" s="80"/>
      <c r="M109" s="80"/>
      <c r="N109" s="80"/>
      <c r="O109" s="80"/>
    </row>
    <row r="110" spans="1:15" x14ac:dyDescent="0.25">
      <c r="A110" s="80"/>
      <c r="B110" s="80"/>
      <c r="C110" s="80">
        <v>5</v>
      </c>
      <c r="D110" s="124" t="s">
        <v>509</v>
      </c>
      <c r="E110" s="80">
        <v>4.04</v>
      </c>
      <c r="F110" s="80"/>
      <c r="G110" s="124">
        <v>2.5</v>
      </c>
      <c r="H110" s="80"/>
      <c r="I110" s="80">
        <f t="shared" si="3"/>
        <v>10.1</v>
      </c>
      <c r="J110" s="80"/>
      <c r="K110" s="80"/>
      <c r="L110" s="80"/>
      <c r="M110" s="80"/>
      <c r="N110" s="80"/>
      <c r="O110" s="80"/>
    </row>
    <row r="111" spans="1:15" x14ac:dyDescent="0.25">
      <c r="A111" s="80"/>
      <c r="B111" s="80"/>
      <c r="C111" s="80">
        <v>6</v>
      </c>
      <c r="D111" s="124" t="s">
        <v>510</v>
      </c>
      <c r="E111" s="80">
        <v>2.8</v>
      </c>
      <c r="F111" s="80"/>
      <c r="G111" s="124">
        <v>2.5</v>
      </c>
      <c r="H111" s="80"/>
      <c r="I111" s="80">
        <f t="shared" si="3"/>
        <v>7</v>
      </c>
      <c r="J111" s="80"/>
      <c r="K111" s="80"/>
      <c r="L111" s="80"/>
      <c r="M111" s="80"/>
      <c r="N111" s="80"/>
      <c r="O111" s="80"/>
    </row>
    <row r="112" spans="1:15" x14ac:dyDescent="0.25">
      <c r="A112" s="80"/>
      <c r="B112" s="80"/>
      <c r="C112" s="80">
        <v>7</v>
      </c>
      <c r="D112" s="124" t="s">
        <v>26</v>
      </c>
      <c r="E112" s="80">
        <v>2.71</v>
      </c>
      <c r="F112" s="80"/>
      <c r="G112" s="124">
        <v>2.5</v>
      </c>
      <c r="H112" s="80"/>
      <c r="I112" s="80">
        <f t="shared" si="3"/>
        <v>6.7750000000000004</v>
      </c>
      <c r="J112" s="80"/>
      <c r="K112" s="80"/>
      <c r="L112" s="80"/>
      <c r="M112" s="80"/>
      <c r="N112" s="80"/>
      <c r="O112" s="80"/>
    </row>
    <row r="113" spans="1:15" x14ac:dyDescent="0.25">
      <c r="A113" s="80"/>
      <c r="B113" s="80"/>
      <c r="C113" s="80">
        <v>8</v>
      </c>
      <c r="D113" s="124" t="s">
        <v>26</v>
      </c>
      <c r="E113" s="80">
        <v>2.71</v>
      </c>
      <c r="F113" s="80"/>
      <c r="G113" s="124">
        <v>2.5</v>
      </c>
      <c r="H113" s="80"/>
      <c r="I113" s="80">
        <f t="shared" si="3"/>
        <v>6.7750000000000004</v>
      </c>
      <c r="J113" s="80"/>
      <c r="K113" s="80"/>
      <c r="L113" s="80"/>
      <c r="M113" s="80"/>
      <c r="N113" s="80"/>
      <c r="O113" s="80"/>
    </row>
    <row r="114" spans="1:15" x14ac:dyDescent="0.25">
      <c r="A114" s="80"/>
      <c r="B114" s="80"/>
      <c r="C114" s="80">
        <v>9</v>
      </c>
      <c r="D114" s="124" t="s">
        <v>28</v>
      </c>
      <c r="E114" s="80">
        <v>6.84</v>
      </c>
      <c r="F114" s="109"/>
      <c r="G114" s="124">
        <v>2.5</v>
      </c>
      <c r="H114" s="80"/>
      <c r="I114" s="80">
        <f t="shared" si="3"/>
        <v>17.100000000000001</v>
      </c>
      <c r="J114" s="80"/>
      <c r="K114" s="80"/>
      <c r="L114" s="80"/>
      <c r="M114" s="80"/>
      <c r="N114" s="80"/>
      <c r="O114" s="80"/>
    </row>
    <row r="115" spans="1:15" x14ac:dyDescent="0.25">
      <c r="A115" s="80"/>
      <c r="B115" s="80"/>
      <c r="C115" s="126" t="s">
        <v>16</v>
      </c>
      <c r="D115" s="127" t="s">
        <v>511</v>
      </c>
      <c r="E115" s="80">
        <v>17.920000000000002</v>
      </c>
      <c r="F115" s="109"/>
      <c r="G115" s="124">
        <v>2.5</v>
      </c>
      <c r="H115" s="80"/>
      <c r="I115" s="80">
        <f t="shared" si="3"/>
        <v>44.800000000000004</v>
      </c>
      <c r="J115" s="80"/>
      <c r="K115" s="80"/>
      <c r="L115" s="80"/>
      <c r="M115" s="80"/>
      <c r="N115" s="80"/>
      <c r="O115" s="80"/>
    </row>
    <row r="116" spans="1:15" x14ac:dyDescent="0.25">
      <c r="A116" s="80"/>
      <c r="B116" s="80"/>
      <c r="C116" s="126" t="s">
        <v>17</v>
      </c>
      <c r="D116" s="127" t="s">
        <v>512</v>
      </c>
      <c r="E116" s="80">
        <v>15.04</v>
      </c>
      <c r="F116" s="109"/>
      <c r="G116" s="124">
        <v>2.5</v>
      </c>
      <c r="H116" s="80"/>
      <c r="I116" s="80">
        <f t="shared" si="3"/>
        <v>37.599999999999994</v>
      </c>
      <c r="J116" s="80"/>
      <c r="K116" s="80"/>
      <c r="L116" s="80"/>
      <c r="M116" s="80"/>
      <c r="N116" s="80"/>
      <c r="O116" s="80"/>
    </row>
    <row r="117" spans="1:15" x14ac:dyDescent="0.25">
      <c r="A117" s="80"/>
      <c r="B117" s="80"/>
      <c r="C117" s="126" t="s">
        <v>18</v>
      </c>
      <c r="D117" s="124" t="s">
        <v>513</v>
      </c>
      <c r="E117" s="80">
        <v>1.22</v>
      </c>
      <c r="F117" s="109"/>
      <c r="G117" s="124">
        <v>2.5</v>
      </c>
      <c r="H117" s="80"/>
      <c r="I117" s="80">
        <f t="shared" si="3"/>
        <v>3.05</v>
      </c>
      <c r="J117" s="80"/>
      <c r="K117" s="80"/>
      <c r="L117" s="80"/>
      <c r="M117" s="80"/>
      <c r="N117" s="80"/>
      <c r="O117" s="80"/>
    </row>
    <row r="118" spans="1:15" x14ac:dyDescent="0.25">
      <c r="A118" s="80"/>
      <c r="B118" s="80"/>
      <c r="C118" s="126" t="s">
        <v>19</v>
      </c>
      <c r="D118" s="124" t="s">
        <v>514</v>
      </c>
      <c r="E118" s="80">
        <v>7.61</v>
      </c>
      <c r="F118" s="109"/>
      <c r="G118" s="124">
        <v>2.5</v>
      </c>
      <c r="H118" s="80"/>
      <c r="I118" s="80">
        <f t="shared" si="3"/>
        <v>19.025000000000002</v>
      </c>
      <c r="J118" s="80"/>
      <c r="K118" s="80"/>
      <c r="L118" s="80"/>
      <c r="M118" s="80"/>
      <c r="N118" s="80"/>
      <c r="O118" s="80"/>
    </row>
    <row r="119" spans="1:15" x14ac:dyDescent="0.25">
      <c r="A119" s="80"/>
      <c r="B119" s="80"/>
      <c r="C119" s="126" t="s">
        <v>29</v>
      </c>
      <c r="D119" s="127" t="s">
        <v>515</v>
      </c>
      <c r="E119" s="80">
        <v>12.81</v>
      </c>
      <c r="F119" s="109"/>
      <c r="G119" s="124">
        <v>2.5</v>
      </c>
      <c r="H119" s="80"/>
      <c r="I119" s="80">
        <f t="shared" si="3"/>
        <v>32.024999999999999</v>
      </c>
      <c r="J119" s="80"/>
      <c r="K119" s="80"/>
      <c r="L119" s="80"/>
      <c r="M119" s="80"/>
      <c r="N119" s="80"/>
      <c r="O119" s="80"/>
    </row>
    <row r="120" spans="1:15" x14ac:dyDescent="0.25">
      <c r="A120" s="80"/>
      <c r="B120" s="80"/>
      <c r="C120" s="126" t="s">
        <v>396</v>
      </c>
      <c r="D120" s="127" t="s">
        <v>511</v>
      </c>
      <c r="E120" s="80">
        <v>17.72</v>
      </c>
      <c r="F120" s="109"/>
      <c r="G120" s="124">
        <v>2.5</v>
      </c>
      <c r="H120" s="80"/>
      <c r="I120" s="80">
        <f t="shared" si="3"/>
        <v>44.3</v>
      </c>
      <c r="J120" s="80"/>
      <c r="K120" s="80"/>
      <c r="L120" s="80"/>
      <c r="M120" s="80"/>
      <c r="N120" s="80"/>
      <c r="O120" s="80"/>
    </row>
    <row r="121" spans="1:15" x14ac:dyDescent="0.25">
      <c r="A121" s="80"/>
      <c r="B121" s="80" t="s">
        <v>523</v>
      </c>
      <c r="C121" s="109"/>
      <c r="D121" s="119"/>
      <c r="E121" s="109"/>
      <c r="F121" s="109"/>
      <c r="G121" s="124"/>
      <c r="H121" s="80"/>
      <c r="I121" s="80"/>
      <c r="J121" s="80"/>
      <c r="K121" s="80"/>
      <c r="L121" s="80"/>
      <c r="M121" s="80"/>
      <c r="N121" s="80"/>
      <c r="O121" s="80"/>
    </row>
    <row r="122" spans="1:15" x14ac:dyDescent="0.25">
      <c r="A122" s="80"/>
      <c r="B122" s="80"/>
      <c r="C122" s="80"/>
      <c r="D122" s="124"/>
      <c r="E122" s="109"/>
      <c r="F122" s="109"/>
      <c r="G122" s="124"/>
      <c r="H122" s="80"/>
      <c r="I122" s="80"/>
      <c r="J122" s="80"/>
      <c r="K122" s="80"/>
      <c r="L122" s="80"/>
      <c r="M122" s="80"/>
      <c r="N122" s="80"/>
      <c r="O122" s="80"/>
    </row>
    <row r="123" spans="1:15" x14ac:dyDescent="0.25">
      <c r="A123" s="80"/>
      <c r="B123" s="80"/>
      <c r="C123" s="126">
        <v>3</v>
      </c>
      <c r="D123" s="127" t="s">
        <v>508</v>
      </c>
      <c r="E123" s="80">
        <v>4.13</v>
      </c>
      <c r="F123" s="109"/>
      <c r="G123" s="124">
        <v>2.5</v>
      </c>
      <c r="H123" s="80"/>
      <c r="I123" s="80">
        <f>E123*G123</f>
        <v>10.324999999999999</v>
      </c>
      <c r="J123" s="80"/>
      <c r="K123" s="80"/>
      <c r="L123" s="80"/>
      <c r="M123" s="80"/>
      <c r="N123" s="80"/>
      <c r="O123" s="80"/>
    </row>
    <row r="124" spans="1:15" x14ac:dyDescent="0.25">
      <c r="A124" s="80"/>
      <c r="B124" s="80"/>
      <c r="C124" s="80">
        <v>4</v>
      </c>
      <c r="D124" s="124" t="s">
        <v>26</v>
      </c>
      <c r="E124" s="80">
        <v>2.57</v>
      </c>
      <c r="F124" s="109"/>
      <c r="G124" s="124">
        <v>2.5</v>
      </c>
      <c r="H124" s="80"/>
      <c r="I124" s="80">
        <f t="shared" ref="I124:I136" si="4">E124*G124</f>
        <v>6.4249999999999998</v>
      </c>
      <c r="J124" s="80"/>
      <c r="K124" s="80"/>
      <c r="L124" s="80"/>
      <c r="M124" s="80"/>
      <c r="N124" s="80"/>
      <c r="O124" s="80"/>
    </row>
    <row r="125" spans="1:15" x14ac:dyDescent="0.25">
      <c r="A125" s="80"/>
      <c r="B125" s="80"/>
      <c r="C125" s="80">
        <v>5</v>
      </c>
      <c r="D125" s="124" t="s">
        <v>509</v>
      </c>
      <c r="E125" s="80">
        <v>4.04</v>
      </c>
      <c r="F125" s="109"/>
      <c r="G125" s="124">
        <v>2.5</v>
      </c>
      <c r="H125" s="80"/>
      <c r="I125" s="80">
        <f t="shared" si="4"/>
        <v>10.1</v>
      </c>
      <c r="J125" s="80"/>
      <c r="K125" s="80"/>
      <c r="L125" s="80"/>
      <c r="M125" s="80"/>
      <c r="N125" s="80"/>
      <c r="O125" s="80"/>
    </row>
    <row r="126" spans="1:15" x14ac:dyDescent="0.25">
      <c r="A126" s="80"/>
      <c r="B126" s="80"/>
      <c r="C126" s="80">
        <v>6</v>
      </c>
      <c r="D126" s="124" t="s">
        <v>510</v>
      </c>
      <c r="E126" s="80">
        <v>2.8</v>
      </c>
      <c r="F126" s="109"/>
      <c r="G126" s="124">
        <v>2.5</v>
      </c>
      <c r="H126" s="80"/>
      <c r="I126" s="80">
        <f t="shared" si="4"/>
        <v>7</v>
      </c>
      <c r="J126" s="80"/>
      <c r="K126" s="80"/>
      <c r="L126" s="80"/>
      <c r="M126" s="80"/>
      <c r="N126" s="80"/>
      <c r="O126" s="80"/>
    </row>
    <row r="127" spans="1:15" x14ac:dyDescent="0.25">
      <c r="A127" s="80"/>
      <c r="B127" s="80"/>
      <c r="C127" s="80">
        <v>7</v>
      </c>
      <c r="D127" s="124" t="s">
        <v>26</v>
      </c>
      <c r="E127" s="80">
        <v>2.71</v>
      </c>
      <c r="F127" s="109"/>
      <c r="G127" s="124">
        <v>2.5</v>
      </c>
      <c r="H127" s="80"/>
      <c r="I127" s="80">
        <f t="shared" si="4"/>
        <v>6.7750000000000004</v>
      </c>
      <c r="J127" s="80"/>
      <c r="K127" s="80"/>
      <c r="L127" s="80"/>
      <c r="M127" s="80"/>
      <c r="N127" s="80"/>
      <c r="O127" s="80"/>
    </row>
    <row r="128" spans="1:15" x14ac:dyDescent="0.25">
      <c r="A128" s="80"/>
      <c r="B128" s="80"/>
      <c r="C128" s="80">
        <v>8</v>
      </c>
      <c r="D128" s="124" t="s">
        <v>510</v>
      </c>
      <c r="E128" s="80">
        <v>2.4</v>
      </c>
      <c r="F128" s="109"/>
      <c r="G128" s="124">
        <v>2.5</v>
      </c>
      <c r="H128" s="80"/>
      <c r="I128" s="80">
        <f t="shared" si="4"/>
        <v>6</v>
      </c>
      <c r="J128" s="80"/>
      <c r="K128" s="80"/>
      <c r="L128" s="80"/>
      <c r="M128" s="80"/>
      <c r="N128" s="80"/>
      <c r="O128" s="80"/>
    </row>
    <row r="129" spans="1:15" x14ac:dyDescent="0.25">
      <c r="A129" s="80"/>
      <c r="B129" s="80"/>
      <c r="C129" s="80">
        <v>8</v>
      </c>
      <c r="D129" s="124" t="s">
        <v>26</v>
      </c>
      <c r="E129" s="80">
        <v>2.71</v>
      </c>
      <c r="F129" s="109"/>
      <c r="G129" s="124">
        <v>2.5</v>
      </c>
      <c r="H129" s="80"/>
      <c r="I129" s="80">
        <f t="shared" si="4"/>
        <v>6.7750000000000004</v>
      </c>
      <c r="J129" s="80"/>
      <c r="K129" s="80"/>
      <c r="L129" s="80"/>
      <c r="M129" s="80"/>
      <c r="N129" s="80"/>
      <c r="O129" s="80"/>
    </row>
    <row r="130" spans="1:15" x14ac:dyDescent="0.25">
      <c r="A130" s="80"/>
      <c r="B130" s="80"/>
      <c r="C130" s="80">
        <v>9</v>
      </c>
      <c r="D130" s="124" t="s">
        <v>28</v>
      </c>
      <c r="E130" s="80">
        <v>6.84</v>
      </c>
      <c r="F130" s="109"/>
      <c r="G130" s="124">
        <v>2.5</v>
      </c>
      <c r="H130" s="80"/>
      <c r="I130" s="80">
        <f t="shared" si="4"/>
        <v>17.100000000000001</v>
      </c>
      <c r="J130" s="80"/>
      <c r="K130" s="80"/>
      <c r="L130" s="80"/>
      <c r="M130" s="80"/>
      <c r="N130" s="80"/>
      <c r="O130" s="80"/>
    </row>
    <row r="131" spans="1:15" x14ac:dyDescent="0.25">
      <c r="A131" s="80"/>
      <c r="B131" s="80"/>
      <c r="C131" s="126" t="s">
        <v>17</v>
      </c>
      <c r="D131" s="127" t="s">
        <v>512</v>
      </c>
      <c r="E131" s="80">
        <v>15.04</v>
      </c>
      <c r="F131" s="109"/>
      <c r="G131" s="124">
        <v>2.5</v>
      </c>
      <c r="H131" s="80"/>
      <c r="I131" s="80">
        <f t="shared" si="4"/>
        <v>37.599999999999994</v>
      </c>
      <c r="J131" s="80"/>
      <c r="K131" s="80"/>
      <c r="L131" s="80"/>
      <c r="M131" s="80"/>
      <c r="N131" s="80"/>
      <c r="O131" s="80"/>
    </row>
    <row r="132" spans="1:15" x14ac:dyDescent="0.25">
      <c r="A132" s="80"/>
      <c r="B132" s="80"/>
      <c r="C132" s="126" t="s">
        <v>18</v>
      </c>
      <c r="D132" s="124" t="s">
        <v>529</v>
      </c>
      <c r="E132" s="80">
        <v>4.3600000000000003</v>
      </c>
      <c r="F132" s="109"/>
      <c r="G132" s="124">
        <v>2.5</v>
      </c>
      <c r="H132" s="80"/>
      <c r="I132" s="80">
        <f t="shared" si="4"/>
        <v>10.9</v>
      </c>
      <c r="J132" s="80"/>
      <c r="K132" s="80"/>
      <c r="L132" s="80"/>
      <c r="M132" s="80"/>
      <c r="N132" s="80"/>
      <c r="O132" s="80"/>
    </row>
    <row r="133" spans="1:15" x14ac:dyDescent="0.25">
      <c r="A133" s="80"/>
      <c r="B133" s="80"/>
      <c r="C133" s="126" t="s">
        <v>18</v>
      </c>
      <c r="D133" s="127" t="s">
        <v>530</v>
      </c>
      <c r="E133" s="80">
        <v>6.2</v>
      </c>
      <c r="F133" s="109"/>
      <c r="G133" s="124">
        <v>2.5</v>
      </c>
      <c r="H133" s="80"/>
      <c r="I133" s="80">
        <f t="shared" si="4"/>
        <v>15.5</v>
      </c>
      <c r="J133" s="80"/>
      <c r="K133" s="80"/>
      <c r="L133" s="80"/>
      <c r="M133" s="80"/>
      <c r="N133" s="80"/>
      <c r="O133" s="80"/>
    </row>
    <row r="134" spans="1:15" x14ac:dyDescent="0.25">
      <c r="A134" s="80"/>
      <c r="B134" s="80"/>
      <c r="C134" s="126" t="s">
        <v>19</v>
      </c>
      <c r="D134" s="124" t="s">
        <v>516</v>
      </c>
      <c r="E134" s="80">
        <v>1</v>
      </c>
      <c r="F134" s="109"/>
      <c r="G134" s="124">
        <v>2.5</v>
      </c>
      <c r="H134" s="80"/>
      <c r="I134" s="80">
        <f t="shared" si="4"/>
        <v>2.5</v>
      </c>
      <c r="J134" s="80"/>
      <c r="K134" s="80"/>
      <c r="L134" s="80"/>
      <c r="M134" s="80"/>
      <c r="N134" s="80"/>
      <c r="O134" s="80"/>
    </row>
    <row r="135" spans="1:15" x14ac:dyDescent="0.25">
      <c r="A135" s="80"/>
      <c r="B135" s="80"/>
      <c r="C135" s="126" t="s">
        <v>19</v>
      </c>
      <c r="D135" s="124" t="s">
        <v>524</v>
      </c>
      <c r="E135" s="80">
        <v>6.9</v>
      </c>
      <c r="F135" s="109"/>
      <c r="G135" s="124">
        <v>2.5</v>
      </c>
      <c r="H135" s="80"/>
      <c r="I135" s="80">
        <f t="shared" si="4"/>
        <v>17.25</v>
      </c>
      <c r="J135" s="80"/>
      <c r="K135" s="80"/>
      <c r="L135" s="80"/>
      <c r="M135" s="80"/>
      <c r="N135" s="80"/>
      <c r="O135" s="80"/>
    </row>
    <row r="136" spans="1:15" x14ac:dyDescent="0.25">
      <c r="A136" s="80"/>
      <c r="B136" s="80"/>
      <c r="C136" s="126" t="s">
        <v>29</v>
      </c>
      <c r="D136" s="127" t="s">
        <v>531</v>
      </c>
      <c r="E136" s="80">
        <v>12.81</v>
      </c>
      <c r="F136" s="109"/>
      <c r="G136" s="124">
        <v>2.5</v>
      </c>
      <c r="H136" s="80"/>
      <c r="I136" s="80">
        <f t="shared" si="4"/>
        <v>32.024999999999999</v>
      </c>
      <c r="J136" s="80"/>
      <c r="K136" s="80"/>
      <c r="L136" s="80"/>
      <c r="M136" s="80"/>
      <c r="N136" s="80"/>
      <c r="O136" s="80"/>
    </row>
    <row r="137" spans="1:15" x14ac:dyDescent="0.25">
      <c r="A137" s="80"/>
      <c r="B137" s="80"/>
      <c r="C137" s="126"/>
      <c r="D137" s="127"/>
      <c r="E137" s="80"/>
      <c r="F137" s="109"/>
      <c r="G137" s="124"/>
      <c r="H137" s="80"/>
      <c r="I137" s="80"/>
      <c r="J137" s="80"/>
      <c r="K137" s="80"/>
      <c r="L137" s="80"/>
      <c r="M137" s="80"/>
      <c r="N137" s="80"/>
      <c r="O137" s="80"/>
    </row>
    <row r="138" spans="1:15" x14ac:dyDescent="0.25">
      <c r="A138" s="80"/>
      <c r="B138" s="80"/>
      <c r="C138" s="126"/>
      <c r="D138" s="127"/>
      <c r="E138" s="80"/>
      <c r="F138" s="109"/>
      <c r="G138" s="124"/>
      <c r="H138" s="80"/>
      <c r="I138" s="80"/>
      <c r="J138" s="80"/>
      <c r="K138" s="80"/>
      <c r="L138" s="80"/>
      <c r="M138" s="80"/>
      <c r="N138" s="80"/>
      <c r="O138" s="80"/>
    </row>
    <row r="139" spans="1:15" ht="166.5" customHeight="1" x14ac:dyDescent="0.25">
      <c r="A139" s="80"/>
      <c r="B139" s="121" t="s">
        <v>307</v>
      </c>
      <c r="C139" s="109"/>
      <c r="D139" s="119"/>
      <c r="E139" s="109"/>
      <c r="F139" s="109"/>
      <c r="G139" s="124"/>
      <c r="H139" s="80"/>
      <c r="I139" s="80"/>
      <c r="J139" s="112">
        <f>I140+I141+I142+I143+I144+I13+I14+I145+I146</f>
        <v>26.235000000000003</v>
      </c>
      <c r="K139" s="113" t="s">
        <v>15</v>
      </c>
      <c r="L139" s="80"/>
      <c r="M139" s="114" t="s">
        <v>361</v>
      </c>
      <c r="N139" s="114"/>
      <c r="O139" s="80"/>
    </row>
    <row r="140" spans="1:15" x14ac:dyDescent="0.25">
      <c r="A140" s="80"/>
      <c r="B140" s="121"/>
      <c r="C140" s="109">
        <v>3</v>
      </c>
      <c r="D140" s="109" t="s">
        <v>508</v>
      </c>
      <c r="E140" s="109">
        <v>4.72</v>
      </c>
      <c r="F140" s="109"/>
      <c r="G140" s="124">
        <v>0.9</v>
      </c>
      <c r="H140" s="80"/>
      <c r="I140" s="80">
        <f>E140*G140</f>
        <v>4.2480000000000002</v>
      </c>
      <c r="J140" s="80"/>
      <c r="K140" s="80"/>
      <c r="L140" s="80"/>
      <c r="M140" s="80"/>
      <c r="N140" s="80"/>
      <c r="O140" s="80"/>
    </row>
    <row r="141" spans="1:15" x14ac:dyDescent="0.25">
      <c r="A141" s="80"/>
      <c r="B141" s="121"/>
      <c r="C141" s="109">
        <v>4</v>
      </c>
      <c r="D141" s="109" t="s">
        <v>26</v>
      </c>
      <c r="E141" s="109">
        <v>3.05</v>
      </c>
      <c r="F141" s="109"/>
      <c r="G141" s="124">
        <v>0.9</v>
      </c>
      <c r="H141" s="80"/>
      <c r="I141" s="80">
        <f t="shared" ref="I141:I146" si="5">E141*G141</f>
        <v>2.7450000000000001</v>
      </c>
      <c r="J141" s="80"/>
      <c r="K141" s="80"/>
      <c r="L141" s="80"/>
      <c r="M141" s="80"/>
      <c r="N141" s="80"/>
      <c r="O141" s="80"/>
    </row>
    <row r="142" spans="1:15" x14ac:dyDescent="0.25">
      <c r="A142" s="80"/>
      <c r="B142" s="121"/>
      <c r="C142" s="109">
        <v>8</v>
      </c>
      <c r="D142" s="119" t="s">
        <v>26</v>
      </c>
      <c r="E142" s="109">
        <v>2.36</v>
      </c>
      <c r="F142" s="109"/>
      <c r="G142" s="124">
        <v>0.9</v>
      </c>
      <c r="H142" s="80"/>
      <c r="I142" s="80">
        <f t="shared" si="5"/>
        <v>2.1240000000000001</v>
      </c>
      <c r="J142" s="80"/>
      <c r="K142" s="80">
        <f>J139*2</f>
        <v>52.470000000000006</v>
      </c>
      <c r="L142" s="80"/>
      <c r="M142" s="80"/>
      <c r="N142" s="80"/>
      <c r="O142" s="80"/>
    </row>
    <row r="143" spans="1:15" x14ac:dyDescent="0.25">
      <c r="A143" s="80"/>
      <c r="B143" s="121"/>
      <c r="C143" s="109">
        <v>9</v>
      </c>
      <c r="D143" s="109" t="s">
        <v>28</v>
      </c>
      <c r="E143" s="109">
        <v>5.26</v>
      </c>
      <c r="F143" s="109"/>
      <c r="G143" s="124">
        <v>0.9</v>
      </c>
      <c r="H143" s="80"/>
      <c r="I143" s="80">
        <f t="shared" si="5"/>
        <v>4.734</v>
      </c>
      <c r="J143" s="80"/>
      <c r="K143" s="80">
        <f>J104*2</f>
        <v>942.68000000000006</v>
      </c>
      <c r="L143" s="80"/>
      <c r="M143" s="80"/>
      <c r="N143" s="80"/>
      <c r="O143" s="80"/>
    </row>
    <row r="144" spans="1:15" x14ac:dyDescent="0.25">
      <c r="A144" s="80"/>
      <c r="B144" s="121"/>
      <c r="C144" s="109" t="s">
        <v>17</v>
      </c>
      <c r="D144" s="115" t="s">
        <v>512</v>
      </c>
      <c r="E144" s="109">
        <v>6.86</v>
      </c>
      <c r="F144" s="109"/>
      <c r="G144" s="124">
        <v>0.9</v>
      </c>
      <c r="H144" s="80"/>
      <c r="I144" s="80">
        <f t="shared" si="5"/>
        <v>6.1740000000000004</v>
      </c>
      <c r="J144" s="80"/>
      <c r="K144" s="80">
        <f>J99</f>
        <v>82.61</v>
      </c>
      <c r="L144" s="80"/>
      <c r="M144" s="80"/>
      <c r="N144" s="80"/>
      <c r="O144" s="80"/>
    </row>
    <row r="145" spans="1:15" x14ac:dyDescent="0.25">
      <c r="A145" s="80"/>
      <c r="B145" s="121"/>
      <c r="C145" s="109" t="s">
        <v>19</v>
      </c>
      <c r="D145" s="109" t="s">
        <v>516</v>
      </c>
      <c r="E145" s="109">
        <v>1.1399999999999999</v>
      </c>
      <c r="F145" s="109"/>
      <c r="G145" s="124">
        <v>0.9</v>
      </c>
      <c r="H145" s="80"/>
      <c r="I145" s="80">
        <f t="shared" si="5"/>
        <v>1.026</v>
      </c>
      <c r="J145" s="80"/>
      <c r="K145" s="80"/>
      <c r="L145" s="80"/>
      <c r="M145" s="80"/>
      <c r="N145" s="80"/>
      <c r="O145" s="80"/>
    </row>
    <row r="146" spans="1:15" x14ac:dyDescent="0.25">
      <c r="A146" s="80"/>
      <c r="B146" s="121"/>
      <c r="C146" s="109" t="s">
        <v>29</v>
      </c>
      <c r="D146" s="109" t="s">
        <v>517</v>
      </c>
      <c r="E146" s="109">
        <v>5.76</v>
      </c>
      <c r="F146" s="109"/>
      <c r="G146" s="124">
        <v>0.9</v>
      </c>
      <c r="H146" s="80"/>
      <c r="I146" s="80">
        <f t="shared" si="5"/>
        <v>5.1840000000000002</v>
      </c>
      <c r="J146" s="80"/>
      <c r="K146" s="80"/>
      <c r="L146" s="80"/>
      <c r="M146" s="80"/>
      <c r="N146" s="80"/>
      <c r="O146" s="80"/>
    </row>
    <row r="147" spans="1:15" x14ac:dyDescent="0.25">
      <c r="A147" s="80"/>
      <c r="B147" s="121"/>
      <c r="C147" s="109"/>
      <c r="D147" s="109"/>
      <c r="E147" s="109"/>
      <c r="F147" s="109"/>
      <c r="G147" s="124"/>
      <c r="H147" s="80"/>
      <c r="I147" s="80"/>
      <c r="J147" s="80"/>
      <c r="K147" s="80"/>
      <c r="L147" s="80"/>
      <c r="M147" s="80"/>
      <c r="N147" s="80"/>
      <c r="O147" s="80"/>
    </row>
    <row r="148" spans="1:15" x14ac:dyDescent="0.25">
      <c r="A148" s="80"/>
      <c r="B148" s="121"/>
      <c r="C148" s="109"/>
      <c r="D148" s="109"/>
      <c r="E148" s="109"/>
      <c r="F148" s="109"/>
      <c r="G148" s="124"/>
      <c r="H148" s="80"/>
      <c r="I148" s="80"/>
      <c r="J148" s="80"/>
      <c r="K148" s="80"/>
      <c r="L148" s="80"/>
      <c r="M148" s="80"/>
      <c r="N148" s="80"/>
      <c r="O148" s="80"/>
    </row>
    <row r="149" spans="1:15" ht="135" x14ac:dyDescent="0.25">
      <c r="A149" s="109"/>
      <c r="B149" s="121" t="s">
        <v>222</v>
      </c>
      <c r="C149" s="80"/>
      <c r="D149" s="80"/>
      <c r="E149" s="80"/>
      <c r="F149" s="80"/>
      <c r="G149" s="80"/>
      <c r="H149" s="80"/>
      <c r="I149" s="80"/>
      <c r="J149" s="112">
        <f>I151+I152+I153+I154+I155+I156+I157+I158+I159+I160+I161+I162+I163+I164+I165+I167+I168+I169+I170+I171+I172+I173+I174+I176+I175</f>
        <v>235</v>
      </c>
      <c r="K149" s="112" t="s">
        <v>21</v>
      </c>
      <c r="L149" s="80"/>
      <c r="M149" s="114" t="s">
        <v>362</v>
      </c>
      <c r="N149" s="114"/>
      <c r="O149" s="80"/>
    </row>
    <row r="150" spans="1:15" x14ac:dyDescent="0.25">
      <c r="A150" s="109"/>
      <c r="B150" s="121" t="s">
        <v>518</v>
      </c>
      <c r="C150" s="80"/>
      <c r="D150" s="80"/>
      <c r="E150" s="80"/>
      <c r="F150" s="80"/>
      <c r="G150" s="80"/>
      <c r="H150" s="80"/>
      <c r="I150" s="80"/>
      <c r="J150" s="116"/>
      <c r="K150" s="116"/>
      <c r="L150" s="107"/>
      <c r="M150" s="116"/>
      <c r="N150" s="116"/>
      <c r="O150" s="80"/>
    </row>
    <row r="151" spans="1:15" x14ac:dyDescent="0.25">
      <c r="A151" s="80"/>
      <c r="B151" s="80"/>
      <c r="C151" s="80">
        <v>1</v>
      </c>
      <c r="D151" s="124" t="s">
        <v>506</v>
      </c>
      <c r="E151" s="80"/>
      <c r="F151" s="80"/>
      <c r="G151" s="124">
        <v>2.5</v>
      </c>
      <c r="H151" s="124">
        <v>8</v>
      </c>
      <c r="I151" s="124">
        <f>G151*H151</f>
        <v>20</v>
      </c>
      <c r="J151" s="80"/>
      <c r="K151" s="80"/>
      <c r="L151" s="80"/>
      <c r="M151" s="80"/>
      <c r="N151" s="80"/>
      <c r="O151" s="80"/>
    </row>
    <row r="152" spans="1:15" x14ac:dyDescent="0.25">
      <c r="A152" s="80"/>
      <c r="B152" s="80"/>
      <c r="C152" s="80">
        <v>2</v>
      </c>
      <c r="D152" s="124" t="s">
        <v>507</v>
      </c>
      <c r="E152" s="80"/>
      <c r="F152" s="80"/>
      <c r="G152" s="124">
        <v>2.5</v>
      </c>
      <c r="H152" s="124">
        <v>3</v>
      </c>
      <c r="I152" s="124">
        <f t="shared" ref="I152:I165" si="6">G152*H152</f>
        <v>7.5</v>
      </c>
      <c r="J152" s="80"/>
      <c r="K152" s="80"/>
      <c r="L152" s="80"/>
      <c r="M152" s="80"/>
      <c r="N152" s="80"/>
      <c r="O152" s="80"/>
    </row>
    <row r="153" spans="1:15" x14ac:dyDescent="0.25">
      <c r="A153" s="80"/>
      <c r="B153" s="80"/>
      <c r="C153" s="80">
        <v>3</v>
      </c>
      <c r="D153" s="124" t="s">
        <v>508</v>
      </c>
      <c r="E153" s="80"/>
      <c r="F153" s="80"/>
      <c r="G153" s="124">
        <v>2.5</v>
      </c>
      <c r="H153" s="124">
        <v>3</v>
      </c>
      <c r="I153" s="124">
        <f t="shared" si="6"/>
        <v>7.5</v>
      </c>
      <c r="J153" s="80"/>
      <c r="K153" s="80"/>
      <c r="L153" s="80"/>
      <c r="M153" s="80"/>
      <c r="N153" s="80"/>
      <c r="O153" s="80"/>
    </row>
    <row r="154" spans="1:15" x14ac:dyDescent="0.25">
      <c r="A154" s="80"/>
      <c r="B154" s="80"/>
      <c r="C154" s="80">
        <v>4</v>
      </c>
      <c r="D154" s="124" t="s">
        <v>26</v>
      </c>
      <c r="E154" s="80"/>
      <c r="F154" s="80"/>
      <c r="G154" s="124">
        <v>2.5</v>
      </c>
      <c r="H154" s="124">
        <v>4</v>
      </c>
      <c r="I154" s="124">
        <f t="shared" si="6"/>
        <v>10</v>
      </c>
      <c r="J154" s="80"/>
      <c r="K154" s="80"/>
      <c r="L154" s="80"/>
      <c r="M154" s="80"/>
      <c r="N154" s="80"/>
      <c r="O154" s="80"/>
    </row>
    <row r="155" spans="1:15" x14ac:dyDescent="0.25">
      <c r="A155" s="80"/>
      <c r="B155" s="80"/>
      <c r="C155" s="80">
        <v>5</v>
      </c>
      <c r="D155" s="124" t="s">
        <v>509</v>
      </c>
      <c r="E155" s="80"/>
      <c r="F155" s="80"/>
      <c r="G155" s="124">
        <v>2.5</v>
      </c>
      <c r="H155" s="124">
        <v>3</v>
      </c>
      <c r="I155" s="124">
        <f t="shared" si="6"/>
        <v>7.5</v>
      </c>
      <c r="J155" s="80"/>
      <c r="K155" s="80"/>
      <c r="L155" s="80"/>
      <c r="M155" s="80"/>
      <c r="N155" s="80"/>
      <c r="O155" s="80"/>
    </row>
    <row r="156" spans="1:15" x14ac:dyDescent="0.25">
      <c r="A156" s="80"/>
      <c r="B156" s="80"/>
      <c r="C156" s="80">
        <v>6</v>
      </c>
      <c r="D156" s="124" t="s">
        <v>510</v>
      </c>
      <c r="E156" s="80"/>
      <c r="F156" s="80"/>
      <c r="G156" s="124">
        <v>2.5</v>
      </c>
      <c r="H156" s="124">
        <v>2</v>
      </c>
      <c r="I156" s="124">
        <f t="shared" si="6"/>
        <v>5</v>
      </c>
      <c r="J156" s="80"/>
      <c r="K156" s="80"/>
      <c r="L156" s="80"/>
      <c r="M156" s="80"/>
      <c r="N156" s="80"/>
      <c r="O156" s="80"/>
    </row>
    <row r="157" spans="1:15" x14ac:dyDescent="0.25">
      <c r="A157" s="80"/>
      <c r="B157" s="80"/>
      <c r="C157" s="80">
        <v>7</v>
      </c>
      <c r="D157" s="124" t="s">
        <v>26</v>
      </c>
      <c r="E157" s="80"/>
      <c r="F157" s="80"/>
      <c r="G157" s="124">
        <v>2.5</v>
      </c>
      <c r="H157" s="124">
        <v>3</v>
      </c>
      <c r="I157" s="124">
        <f t="shared" si="6"/>
        <v>7.5</v>
      </c>
      <c r="J157" s="80"/>
      <c r="K157" s="80"/>
      <c r="L157" s="80"/>
      <c r="M157" s="80"/>
      <c r="N157" s="80"/>
      <c r="O157" s="80"/>
    </row>
    <row r="158" spans="1:15" x14ac:dyDescent="0.25">
      <c r="A158" s="80"/>
      <c r="B158" s="80"/>
      <c r="C158" s="80">
        <v>8</v>
      </c>
      <c r="D158" s="124" t="s">
        <v>26</v>
      </c>
      <c r="E158" s="80"/>
      <c r="F158" s="80"/>
      <c r="G158" s="124">
        <v>2.5</v>
      </c>
      <c r="H158" s="124">
        <v>1</v>
      </c>
      <c r="I158" s="124">
        <f t="shared" si="6"/>
        <v>2.5</v>
      </c>
      <c r="J158" s="80"/>
      <c r="K158" s="80"/>
      <c r="L158" s="80"/>
      <c r="M158" s="80"/>
      <c r="N158" s="80"/>
      <c r="O158" s="80"/>
    </row>
    <row r="159" spans="1:15" x14ac:dyDescent="0.25">
      <c r="A159" s="80"/>
      <c r="B159" s="80"/>
      <c r="C159" s="80">
        <v>9</v>
      </c>
      <c r="D159" s="124" t="s">
        <v>28</v>
      </c>
      <c r="E159" s="80"/>
      <c r="F159" s="109"/>
      <c r="G159" s="124">
        <v>2.5</v>
      </c>
      <c r="H159" s="124">
        <v>3</v>
      </c>
      <c r="I159" s="124">
        <f t="shared" si="6"/>
        <v>7.5</v>
      </c>
      <c r="J159" s="80"/>
      <c r="K159" s="80"/>
      <c r="L159" s="80"/>
      <c r="M159" s="80"/>
      <c r="N159" s="80"/>
      <c r="O159" s="80"/>
    </row>
    <row r="160" spans="1:15" x14ac:dyDescent="0.25">
      <c r="A160" s="80"/>
      <c r="B160" s="80"/>
      <c r="C160" s="80">
        <v>10</v>
      </c>
      <c r="D160" s="124" t="s">
        <v>506</v>
      </c>
      <c r="E160" s="80"/>
      <c r="F160" s="109"/>
      <c r="G160" s="124">
        <v>2.5</v>
      </c>
      <c r="H160" s="124">
        <v>7</v>
      </c>
      <c r="I160" s="124">
        <f t="shared" si="6"/>
        <v>17.5</v>
      </c>
      <c r="J160" s="80"/>
      <c r="K160" s="80"/>
      <c r="L160" s="80"/>
      <c r="M160" s="80"/>
      <c r="N160" s="80"/>
      <c r="O160" s="80"/>
    </row>
    <row r="161" spans="1:15" x14ac:dyDescent="0.25">
      <c r="A161" s="80"/>
      <c r="B161" s="80"/>
      <c r="C161" s="126" t="s">
        <v>16</v>
      </c>
      <c r="D161" s="127" t="s">
        <v>511</v>
      </c>
      <c r="E161" s="80"/>
      <c r="F161" s="109"/>
      <c r="G161" s="124">
        <v>2.5</v>
      </c>
      <c r="H161" s="124">
        <v>10</v>
      </c>
      <c r="I161" s="124">
        <f t="shared" si="6"/>
        <v>25</v>
      </c>
      <c r="J161" s="80"/>
      <c r="K161" s="80"/>
      <c r="L161" s="80"/>
      <c r="M161" s="80"/>
      <c r="N161" s="80"/>
      <c r="O161" s="80"/>
    </row>
    <row r="162" spans="1:15" x14ac:dyDescent="0.25">
      <c r="A162" s="80"/>
      <c r="B162" s="80"/>
      <c r="C162" s="126" t="s">
        <v>17</v>
      </c>
      <c r="D162" s="127" t="s">
        <v>512</v>
      </c>
      <c r="E162" s="80"/>
      <c r="F162" s="109"/>
      <c r="G162" s="124">
        <v>2.5</v>
      </c>
      <c r="H162" s="124">
        <v>5</v>
      </c>
      <c r="I162" s="124">
        <f t="shared" si="6"/>
        <v>12.5</v>
      </c>
      <c r="J162" s="80"/>
      <c r="K162" s="80"/>
      <c r="L162" s="80"/>
      <c r="M162" s="80"/>
      <c r="N162" s="80"/>
      <c r="O162" s="80"/>
    </row>
    <row r="163" spans="1:15" x14ac:dyDescent="0.25">
      <c r="A163" s="80"/>
      <c r="B163" s="80"/>
      <c r="C163" s="126" t="s">
        <v>19</v>
      </c>
      <c r="D163" s="124" t="s">
        <v>514</v>
      </c>
      <c r="E163" s="80"/>
      <c r="F163" s="109"/>
      <c r="G163" s="124">
        <v>2.5</v>
      </c>
      <c r="H163" s="124">
        <v>1</v>
      </c>
      <c r="I163" s="124">
        <f t="shared" si="6"/>
        <v>2.5</v>
      </c>
      <c r="J163" s="80"/>
      <c r="K163" s="80"/>
      <c r="L163" s="80"/>
      <c r="M163" s="80"/>
      <c r="N163" s="80"/>
      <c r="O163" s="80"/>
    </row>
    <row r="164" spans="1:15" x14ac:dyDescent="0.25">
      <c r="A164" s="80"/>
      <c r="B164" s="80"/>
      <c r="C164" s="126" t="s">
        <v>29</v>
      </c>
      <c r="D164" s="127" t="s">
        <v>515</v>
      </c>
      <c r="E164" s="80"/>
      <c r="F164" s="109"/>
      <c r="G164" s="124">
        <v>2.5</v>
      </c>
      <c r="H164" s="124">
        <v>3</v>
      </c>
      <c r="I164" s="124">
        <f t="shared" si="6"/>
        <v>7.5</v>
      </c>
      <c r="J164" s="80"/>
      <c r="K164" s="80"/>
      <c r="L164" s="80"/>
      <c r="M164" s="80"/>
      <c r="N164" s="80"/>
      <c r="O164" s="80"/>
    </row>
    <row r="165" spans="1:15" x14ac:dyDescent="0.25">
      <c r="A165" s="80"/>
      <c r="B165" s="80"/>
      <c r="C165" s="126" t="s">
        <v>396</v>
      </c>
      <c r="D165" s="127" t="s">
        <v>511</v>
      </c>
      <c r="E165" s="80"/>
      <c r="F165" s="109"/>
      <c r="G165" s="124">
        <v>2.5</v>
      </c>
      <c r="H165" s="124">
        <v>10</v>
      </c>
      <c r="I165" s="124">
        <f t="shared" si="6"/>
        <v>25</v>
      </c>
      <c r="J165" s="80"/>
      <c r="K165" s="80"/>
      <c r="L165" s="80"/>
      <c r="M165" s="80"/>
      <c r="N165" s="80"/>
      <c r="O165" s="80"/>
    </row>
    <row r="166" spans="1:15" x14ac:dyDescent="0.25">
      <c r="A166" s="80"/>
      <c r="B166" s="80" t="s">
        <v>519</v>
      </c>
      <c r="C166" s="109"/>
      <c r="D166" s="119"/>
      <c r="E166" s="80"/>
      <c r="F166" s="80"/>
      <c r="G166" s="109"/>
      <c r="H166" s="124"/>
      <c r="I166" s="109"/>
      <c r="J166" s="80"/>
      <c r="K166" s="80"/>
      <c r="L166" s="80"/>
      <c r="M166" s="80"/>
      <c r="N166" s="80"/>
      <c r="O166" s="80"/>
    </row>
    <row r="167" spans="1:15" x14ac:dyDescent="0.25">
      <c r="A167" s="80"/>
      <c r="B167" s="80"/>
      <c r="C167" s="80">
        <v>3</v>
      </c>
      <c r="D167" s="124" t="s">
        <v>508</v>
      </c>
      <c r="E167" s="80"/>
      <c r="F167" s="80"/>
      <c r="G167" s="109">
        <v>2.5</v>
      </c>
      <c r="H167" s="124">
        <v>4</v>
      </c>
      <c r="I167" s="109">
        <f>G167*H167</f>
        <v>10</v>
      </c>
      <c r="J167" s="80"/>
      <c r="K167" s="80"/>
      <c r="L167" s="80"/>
      <c r="M167" s="80"/>
      <c r="N167" s="80"/>
      <c r="O167" s="80"/>
    </row>
    <row r="168" spans="1:15" x14ac:dyDescent="0.25">
      <c r="A168" s="80"/>
      <c r="B168" s="80"/>
      <c r="C168" s="80">
        <v>4</v>
      </c>
      <c r="D168" s="124" t="s">
        <v>26</v>
      </c>
      <c r="E168" s="80"/>
      <c r="F168" s="80"/>
      <c r="G168" s="109">
        <v>2.5</v>
      </c>
      <c r="H168" s="124">
        <v>2</v>
      </c>
      <c r="I168" s="109">
        <f t="shared" ref="I168:I176" si="7">G168*H168</f>
        <v>5</v>
      </c>
      <c r="J168" s="80"/>
      <c r="K168" s="80"/>
      <c r="L168" s="80"/>
      <c r="M168" s="80"/>
      <c r="N168" s="80"/>
      <c r="O168" s="80"/>
    </row>
    <row r="169" spans="1:15" x14ac:dyDescent="0.25">
      <c r="A169" s="80"/>
      <c r="B169" s="80"/>
      <c r="C169" s="80">
        <v>5</v>
      </c>
      <c r="D169" s="124" t="s">
        <v>509</v>
      </c>
      <c r="E169" s="80"/>
      <c r="F169" s="80"/>
      <c r="G169" s="109">
        <v>2.5</v>
      </c>
      <c r="H169" s="124">
        <v>3</v>
      </c>
      <c r="I169" s="109">
        <f t="shared" si="7"/>
        <v>7.5</v>
      </c>
      <c r="J169" s="80"/>
      <c r="K169" s="80"/>
      <c r="L169" s="80"/>
      <c r="M169" s="80"/>
      <c r="N169" s="80"/>
      <c r="O169" s="80"/>
    </row>
    <row r="170" spans="1:15" x14ac:dyDescent="0.25">
      <c r="A170" s="80"/>
      <c r="B170" s="80"/>
      <c r="C170" s="80">
        <v>6</v>
      </c>
      <c r="D170" s="124" t="s">
        <v>510</v>
      </c>
      <c r="E170" s="80"/>
      <c r="F170" s="80"/>
      <c r="G170" s="109">
        <v>2.5</v>
      </c>
      <c r="H170" s="124">
        <v>3</v>
      </c>
      <c r="I170" s="109">
        <f t="shared" si="7"/>
        <v>7.5</v>
      </c>
      <c r="J170" s="80"/>
      <c r="K170" s="80"/>
      <c r="L170" s="80"/>
      <c r="M170" s="80"/>
      <c r="N170" s="80"/>
      <c r="O170" s="80"/>
    </row>
    <row r="171" spans="1:15" x14ac:dyDescent="0.25">
      <c r="A171" s="80"/>
      <c r="B171" s="80"/>
      <c r="C171" s="80">
        <v>7</v>
      </c>
      <c r="D171" s="124" t="s">
        <v>26</v>
      </c>
      <c r="E171" s="80"/>
      <c r="F171" s="80"/>
      <c r="G171" s="109">
        <v>2.5</v>
      </c>
      <c r="H171" s="124">
        <v>2</v>
      </c>
      <c r="I171" s="109">
        <f t="shared" si="7"/>
        <v>5</v>
      </c>
      <c r="J171" s="80"/>
      <c r="K171" s="80"/>
      <c r="L171" s="80"/>
      <c r="M171" s="80"/>
      <c r="N171" s="80"/>
      <c r="O171" s="80"/>
    </row>
    <row r="172" spans="1:15" x14ac:dyDescent="0.25">
      <c r="A172" s="80"/>
      <c r="B172" s="80"/>
      <c r="C172" s="80">
        <v>8</v>
      </c>
      <c r="D172" s="124" t="s">
        <v>26</v>
      </c>
      <c r="E172" s="80"/>
      <c r="F172" s="80"/>
      <c r="G172" s="109">
        <v>2.5</v>
      </c>
      <c r="H172" s="124">
        <v>4</v>
      </c>
      <c r="I172" s="109">
        <f t="shared" si="7"/>
        <v>10</v>
      </c>
      <c r="J172" s="80"/>
      <c r="K172" s="80"/>
      <c r="L172" s="80"/>
      <c r="M172" s="80"/>
      <c r="N172" s="80"/>
      <c r="O172" s="80"/>
    </row>
    <row r="173" spans="1:15" x14ac:dyDescent="0.25">
      <c r="A173" s="80"/>
      <c r="B173" s="80"/>
      <c r="C173" s="80">
        <v>9</v>
      </c>
      <c r="D173" s="124" t="s">
        <v>28</v>
      </c>
      <c r="E173" s="80"/>
      <c r="F173" s="80"/>
      <c r="G173" s="109">
        <v>2.5</v>
      </c>
      <c r="H173" s="124">
        <v>4</v>
      </c>
      <c r="I173" s="109">
        <f t="shared" si="7"/>
        <v>10</v>
      </c>
      <c r="J173" s="80"/>
      <c r="K173" s="80"/>
      <c r="L173" s="80"/>
      <c r="M173" s="80"/>
      <c r="N173" s="80"/>
      <c r="O173" s="80"/>
    </row>
    <row r="174" spans="1:15" x14ac:dyDescent="0.25">
      <c r="A174" s="80"/>
      <c r="B174" s="80"/>
      <c r="C174" s="126" t="s">
        <v>17</v>
      </c>
      <c r="D174" s="127" t="s">
        <v>512</v>
      </c>
      <c r="E174" s="80"/>
      <c r="F174" s="80"/>
      <c r="G174" s="109">
        <v>2.5</v>
      </c>
      <c r="H174" s="124">
        <v>3</v>
      </c>
      <c r="I174" s="109">
        <f t="shared" si="7"/>
        <v>7.5</v>
      </c>
      <c r="J174" s="80"/>
      <c r="K174" s="80"/>
      <c r="L174" s="80"/>
      <c r="M174" s="80"/>
      <c r="N174" s="80"/>
      <c r="O174" s="80"/>
    </row>
    <row r="175" spans="1:15" x14ac:dyDescent="0.25">
      <c r="A175" s="80"/>
      <c r="B175" s="80"/>
      <c r="C175" s="126" t="s">
        <v>18</v>
      </c>
      <c r="D175" s="124" t="s">
        <v>513</v>
      </c>
      <c r="E175" s="80"/>
      <c r="F175" s="80"/>
      <c r="G175" s="109">
        <v>2.5</v>
      </c>
      <c r="H175" s="124">
        <v>1</v>
      </c>
      <c r="I175" s="109">
        <f t="shared" si="7"/>
        <v>2.5</v>
      </c>
      <c r="J175" s="80"/>
      <c r="K175" s="80"/>
      <c r="L175" s="80"/>
      <c r="M175" s="80"/>
      <c r="N175" s="80"/>
      <c r="O175" s="80"/>
    </row>
    <row r="176" spans="1:15" x14ac:dyDescent="0.25">
      <c r="A176" s="80"/>
      <c r="B176" s="80"/>
      <c r="C176" s="126" t="s">
        <v>19</v>
      </c>
      <c r="D176" s="124" t="s">
        <v>514</v>
      </c>
      <c r="E176" s="80"/>
      <c r="F176" s="80"/>
      <c r="G176" s="109">
        <v>2.5</v>
      </c>
      <c r="H176" s="124">
        <v>2</v>
      </c>
      <c r="I176" s="109">
        <f t="shared" si="7"/>
        <v>5</v>
      </c>
      <c r="J176" s="80"/>
      <c r="K176" s="80"/>
      <c r="L176" s="80"/>
      <c r="M176" s="80"/>
      <c r="N176" s="80"/>
      <c r="O176" s="80"/>
    </row>
    <row r="177" spans="1:15" x14ac:dyDescent="0.25">
      <c r="A177" s="80"/>
      <c r="B177" s="80"/>
      <c r="C177" s="80"/>
      <c r="D177" s="124"/>
      <c r="E177" s="80"/>
      <c r="F177" s="80"/>
      <c r="G177" s="109"/>
      <c r="H177" s="124"/>
      <c r="I177" s="109"/>
      <c r="J177" s="80"/>
      <c r="K177" s="80"/>
      <c r="L177" s="80"/>
      <c r="M177" s="80"/>
      <c r="N177" s="80"/>
      <c r="O177" s="80"/>
    </row>
    <row r="178" spans="1:15" ht="135" x14ac:dyDescent="0.25">
      <c r="A178" s="109"/>
      <c r="B178" s="121" t="s">
        <v>520</v>
      </c>
      <c r="C178" s="80"/>
      <c r="D178" s="80"/>
      <c r="E178" s="80"/>
      <c r="F178" s="80"/>
      <c r="G178" s="124"/>
      <c r="H178" s="124"/>
      <c r="I178" s="109"/>
      <c r="J178" s="129">
        <f>I179+I180+I182</f>
        <v>10</v>
      </c>
      <c r="K178" s="112" t="s">
        <v>21</v>
      </c>
      <c r="L178" s="80"/>
      <c r="M178" s="114" t="s">
        <v>363</v>
      </c>
      <c r="N178" s="114"/>
      <c r="O178" s="80"/>
    </row>
    <row r="179" spans="1:15" x14ac:dyDescent="0.25">
      <c r="A179" s="80"/>
      <c r="B179" s="80" t="s">
        <v>522</v>
      </c>
      <c r="C179" s="126">
        <v>9</v>
      </c>
      <c r="D179" s="127" t="s">
        <v>509</v>
      </c>
      <c r="E179" s="80"/>
      <c r="F179" s="80"/>
      <c r="G179" s="124">
        <v>2.5</v>
      </c>
      <c r="H179" s="124">
        <v>1</v>
      </c>
      <c r="I179" s="109">
        <f>G179*H179</f>
        <v>2.5</v>
      </c>
      <c r="J179" s="80"/>
      <c r="K179" s="80"/>
      <c r="L179" s="80"/>
      <c r="M179" s="80"/>
      <c r="N179" s="80"/>
      <c r="O179" s="80"/>
    </row>
    <row r="180" spans="1:15" x14ac:dyDescent="0.25">
      <c r="A180" s="80"/>
      <c r="B180" s="80"/>
      <c r="C180" s="126" t="s">
        <v>18</v>
      </c>
      <c r="D180" s="124" t="s">
        <v>521</v>
      </c>
      <c r="E180" s="80"/>
      <c r="F180" s="80"/>
      <c r="G180" s="124">
        <v>2.5</v>
      </c>
      <c r="H180" s="124">
        <v>2</v>
      </c>
      <c r="I180" s="109">
        <f>G180*H180</f>
        <v>5</v>
      </c>
      <c r="J180" s="80"/>
      <c r="K180" s="80"/>
      <c r="L180" s="80"/>
      <c r="M180" s="80"/>
      <c r="N180" s="80"/>
      <c r="O180" s="80"/>
    </row>
    <row r="181" spans="1:15" x14ac:dyDescent="0.25">
      <c r="A181" s="80"/>
      <c r="B181" s="80" t="s">
        <v>523</v>
      </c>
      <c r="C181" s="80"/>
      <c r="D181" s="80"/>
      <c r="E181" s="80"/>
      <c r="F181" s="80"/>
      <c r="G181" s="124"/>
      <c r="H181" s="124"/>
      <c r="I181" s="109"/>
      <c r="J181" s="80"/>
      <c r="K181" s="80"/>
      <c r="L181" s="80"/>
      <c r="M181" s="80"/>
      <c r="N181" s="80"/>
      <c r="O181" s="80"/>
    </row>
    <row r="182" spans="1:15" x14ac:dyDescent="0.25">
      <c r="A182" s="80"/>
      <c r="B182" s="80"/>
      <c r="C182" s="126" t="s">
        <v>19</v>
      </c>
      <c r="D182" s="127" t="s">
        <v>524</v>
      </c>
      <c r="E182" s="80"/>
      <c r="F182" s="80"/>
      <c r="G182" s="124">
        <v>2.5</v>
      </c>
      <c r="H182" s="124">
        <v>1</v>
      </c>
      <c r="I182" s="109">
        <f>G182*H182</f>
        <v>2.5</v>
      </c>
      <c r="J182" s="80"/>
      <c r="K182" s="80"/>
      <c r="L182" s="80"/>
      <c r="M182" s="80"/>
      <c r="N182" s="80"/>
      <c r="O182" s="80"/>
    </row>
    <row r="183" spans="1:15" x14ac:dyDescent="0.25">
      <c r="A183" s="80"/>
      <c r="B183" s="80"/>
      <c r="C183" s="80"/>
      <c r="D183" s="80"/>
      <c r="E183" s="80"/>
      <c r="F183" s="80"/>
      <c r="G183" s="124"/>
      <c r="H183" s="124"/>
      <c r="I183" s="109"/>
      <c r="J183" s="80"/>
      <c r="K183" s="80"/>
      <c r="L183" s="80"/>
      <c r="M183" s="80"/>
      <c r="N183" s="80"/>
      <c r="O183" s="80"/>
    </row>
    <row r="184" spans="1:15" ht="210.75" customHeight="1" x14ac:dyDescent="0.25">
      <c r="A184" s="109"/>
      <c r="B184" s="121" t="s">
        <v>528</v>
      </c>
      <c r="C184" s="126"/>
      <c r="D184" s="124"/>
      <c r="E184" s="80"/>
      <c r="F184" s="80"/>
      <c r="G184" s="80"/>
      <c r="H184" s="80"/>
      <c r="I184" s="80"/>
      <c r="J184" s="130">
        <f>E186+E187+E188+E189+E190+E191+E192+E193+E194+E195+E196+E197+E198+E199+E200+E202+E203+E204+E205+E206+E207+E208+E209+E210+E211+E212+E213+E214+E215</f>
        <v>195.44000000000003</v>
      </c>
      <c r="K184" s="112" t="s">
        <v>21</v>
      </c>
      <c r="L184" s="80"/>
      <c r="M184" s="114" t="s">
        <v>363</v>
      </c>
      <c r="N184" s="114"/>
      <c r="O184" s="80"/>
    </row>
    <row r="185" spans="1:15" x14ac:dyDescent="0.25">
      <c r="A185" s="109"/>
      <c r="B185" s="121" t="s">
        <v>522</v>
      </c>
      <c r="C185" s="126"/>
      <c r="D185" s="124"/>
      <c r="E185" s="80"/>
      <c r="F185" s="80"/>
      <c r="G185" s="80"/>
      <c r="H185" s="80"/>
      <c r="I185" s="80"/>
      <c r="J185" s="130"/>
      <c r="K185" s="112"/>
      <c r="L185" s="80"/>
      <c r="M185" s="114"/>
      <c r="N185" s="114"/>
      <c r="O185" s="80"/>
    </row>
    <row r="186" spans="1:15" x14ac:dyDescent="0.25">
      <c r="A186" s="80"/>
      <c r="B186" s="80"/>
      <c r="C186" s="80">
        <v>1</v>
      </c>
      <c r="D186" s="124" t="s">
        <v>506</v>
      </c>
      <c r="E186" s="80">
        <v>20.100000000000001</v>
      </c>
      <c r="F186" s="80">
        <v>0.15</v>
      </c>
      <c r="G186" s="80">
        <v>0.3</v>
      </c>
      <c r="H186" s="80"/>
      <c r="I186" s="80"/>
      <c r="J186" s="80"/>
      <c r="K186" s="80"/>
      <c r="L186" s="80"/>
      <c r="M186" s="80"/>
      <c r="N186" s="80"/>
      <c r="O186" s="80"/>
    </row>
    <row r="187" spans="1:15" x14ac:dyDescent="0.25">
      <c r="A187" s="80"/>
      <c r="B187" s="80"/>
      <c r="C187" s="80">
        <v>2</v>
      </c>
      <c r="D187" s="124" t="s">
        <v>507</v>
      </c>
      <c r="E187" s="80">
        <v>2.71</v>
      </c>
      <c r="F187" s="80">
        <v>0.15</v>
      </c>
      <c r="G187" s="80">
        <v>0.3</v>
      </c>
      <c r="H187" s="80"/>
      <c r="I187" s="80"/>
      <c r="J187" s="80"/>
      <c r="K187" s="80"/>
      <c r="L187" s="80"/>
      <c r="M187" s="80"/>
      <c r="N187" s="80"/>
      <c r="O187" s="80"/>
    </row>
    <row r="188" spans="1:15" x14ac:dyDescent="0.25">
      <c r="A188" s="80"/>
      <c r="B188" s="80"/>
      <c r="C188" s="80">
        <v>3</v>
      </c>
      <c r="D188" s="124" t="s">
        <v>508</v>
      </c>
      <c r="E188" s="80">
        <v>4.13</v>
      </c>
      <c r="F188" s="80">
        <v>0.15</v>
      </c>
      <c r="G188" s="80">
        <v>0.3</v>
      </c>
      <c r="H188" s="80"/>
      <c r="I188" s="80"/>
      <c r="J188" s="80"/>
      <c r="K188" s="80"/>
      <c r="L188" s="80"/>
      <c r="M188" s="80"/>
      <c r="N188" s="80"/>
      <c r="O188" s="80"/>
    </row>
    <row r="189" spans="1:15" x14ac:dyDescent="0.25">
      <c r="A189" s="80"/>
      <c r="B189" s="80"/>
      <c r="C189" s="80">
        <v>4</v>
      </c>
      <c r="D189" s="124" t="s">
        <v>26</v>
      </c>
      <c r="E189" s="80">
        <v>2.57</v>
      </c>
      <c r="F189" s="80">
        <v>0.15</v>
      </c>
      <c r="G189" s="80">
        <v>0.3</v>
      </c>
      <c r="H189" s="80"/>
      <c r="I189" s="80"/>
      <c r="J189" s="80"/>
      <c r="K189" s="80"/>
      <c r="L189" s="80"/>
      <c r="M189" s="80"/>
      <c r="N189" s="80"/>
      <c r="O189" s="80"/>
    </row>
    <row r="190" spans="1:15" x14ac:dyDescent="0.25">
      <c r="A190" s="80"/>
      <c r="B190" s="80"/>
      <c r="C190" s="80">
        <v>5</v>
      </c>
      <c r="D190" s="124" t="s">
        <v>509</v>
      </c>
      <c r="E190" s="80">
        <v>4.04</v>
      </c>
      <c r="F190" s="80">
        <v>0.15</v>
      </c>
      <c r="G190" s="80">
        <v>0.3</v>
      </c>
      <c r="H190" s="80"/>
      <c r="I190" s="80"/>
      <c r="J190" s="80"/>
      <c r="K190" s="80"/>
      <c r="L190" s="80"/>
      <c r="M190" s="80"/>
      <c r="N190" s="80"/>
      <c r="O190" s="80"/>
    </row>
    <row r="191" spans="1:15" x14ac:dyDescent="0.25">
      <c r="A191" s="80"/>
      <c r="B191" s="80"/>
      <c r="C191" s="80">
        <v>6</v>
      </c>
      <c r="D191" s="124" t="s">
        <v>510</v>
      </c>
      <c r="E191" s="80">
        <v>2.8</v>
      </c>
      <c r="F191" s="80">
        <v>0.15</v>
      </c>
      <c r="G191" s="80">
        <v>0.3</v>
      </c>
      <c r="H191" s="80"/>
      <c r="I191" s="80"/>
      <c r="J191" s="80"/>
      <c r="K191" s="80"/>
      <c r="L191" s="80"/>
      <c r="M191" s="80"/>
      <c r="N191" s="80"/>
      <c r="O191" s="80"/>
    </row>
    <row r="192" spans="1:15" x14ac:dyDescent="0.25">
      <c r="A192" s="80"/>
      <c r="B192" s="80"/>
      <c r="C192" s="80">
        <v>7</v>
      </c>
      <c r="D192" s="124" t="s">
        <v>26</v>
      </c>
      <c r="E192" s="80">
        <v>2.71</v>
      </c>
      <c r="F192" s="80">
        <v>0.15</v>
      </c>
      <c r="G192" s="80">
        <v>0.3</v>
      </c>
      <c r="H192" s="80"/>
      <c r="I192" s="80"/>
      <c r="J192" s="80"/>
      <c r="K192" s="80"/>
      <c r="L192" s="80"/>
      <c r="M192" s="80"/>
      <c r="N192" s="80"/>
      <c r="O192" s="80"/>
    </row>
    <row r="193" spans="1:15" x14ac:dyDescent="0.25">
      <c r="A193" s="80"/>
      <c r="B193" s="80"/>
      <c r="C193" s="80">
        <v>8</v>
      </c>
      <c r="D193" s="124" t="s">
        <v>26</v>
      </c>
      <c r="E193" s="80">
        <v>2.71</v>
      </c>
      <c r="F193" s="80">
        <v>0.15</v>
      </c>
      <c r="G193" s="80">
        <v>0.3</v>
      </c>
      <c r="H193" s="80"/>
      <c r="I193" s="80"/>
      <c r="J193" s="80"/>
      <c r="K193" s="80"/>
      <c r="L193" s="80"/>
      <c r="M193" s="80"/>
      <c r="N193" s="80"/>
      <c r="O193" s="80"/>
    </row>
    <row r="194" spans="1:15" x14ac:dyDescent="0.25">
      <c r="A194" s="80"/>
      <c r="B194" s="80"/>
      <c r="C194" s="80">
        <v>9</v>
      </c>
      <c r="D194" s="124" t="s">
        <v>28</v>
      </c>
      <c r="E194" s="80">
        <v>6.84</v>
      </c>
      <c r="F194" s="80">
        <v>0.15</v>
      </c>
      <c r="G194" s="80">
        <v>0.3</v>
      </c>
      <c r="H194" s="80"/>
      <c r="I194" s="80"/>
      <c r="J194" s="80"/>
      <c r="K194" s="80"/>
      <c r="L194" s="80"/>
      <c r="M194" s="80"/>
      <c r="N194" s="80"/>
      <c r="O194" s="80"/>
    </row>
    <row r="195" spans="1:15" x14ac:dyDescent="0.25">
      <c r="A195" s="80"/>
      <c r="B195" s="80"/>
      <c r="C195" s="126" t="s">
        <v>16</v>
      </c>
      <c r="D195" s="127" t="s">
        <v>511</v>
      </c>
      <c r="E195" s="80">
        <v>17.920000000000002</v>
      </c>
      <c r="F195" s="80">
        <v>0.15</v>
      </c>
      <c r="G195" s="80">
        <v>0.3</v>
      </c>
      <c r="H195" s="80"/>
      <c r="I195" s="80"/>
      <c r="J195" s="80"/>
      <c r="K195" s="80"/>
      <c r="L195" s="80"/>
      <c r="M195" s="80"/>
      <c r="N195" s="80"/>
      <c r="O195" s="80"/>
    </row>
    <row r="196" spans="1:15" x14ac:dyDescent="0.25">
      <c r="A196" s="80"/>
      <c r="B196" s="80"/>
      <c r="C196" s="126" t="s">
        <v>17</v>
      </c>
      <c r="D196" s="127" t="s">
        <v>512</v>
      </c>
      <c r="E196" s="80">
        <v>15.04</v>
      </c>
      <c r="F196" s="80">
        <v>0.15</v>
      </c>
      <c r="G196" s="80">
        <v>0.3</v>
      </c>
      <c r="H196" s="80"/>
      <c r="I196" s="80"/>
      <c r="J196" s="80"/>
      <c r="K196" s="80"/>
      <c r="L196" s="80"/>
      <c r="M196" s="80"/>
      <c r="N196" s="80"/>
      <c r="O196" s="80"/>
    </row>
    <row r="197" spans="1:15" x14ac:dyDescent="0.25">
      <c r="A197" s="80"/>
      <c r="B197" s="80"/>
      <c r="C197" s="126" t="s">
        <v>18</v>
      </c>
      <c r="D197" s="124" t="s">
        <v>513</v>
      </c>
      <c r="E197" s="80">
        <v>1.22</v>
      </c>
      <c r="F197" s="80">
        <v>0.15</v>
      </c>
      <c r="G197" s="80">
        <v>0.3</v>
      </c>
      <c r="H197" s="80"/>
      <c r="I197" s="80"/>
      <c r="J197" s="80"/>
      <c r="K197" s="80"/>
      <c r="L197" s="80"/>
      <c r="M197" s="80"/>
      <c r="N197" s="80"/>
      <c r="O197" s="80"/>
    </row>
    <row r="198" spans="1:15" x14ac:dyDescent="0.25">
      <c r="A198" s="80"/>
      <c r="B198" s="80"/>
      <c r="C198" s="126" t="s">
        <v>19</v>
      </c>
      <c r="D198" s="124" t="s">
        <v>514</v>
      </c>
      <c r="E198" s="80">
        <v>7.61</v>
      </c>
      <c r="F198" s="80">
        <v>0.15</v>
      </c>
      <c r="G198" s="80">
        <v>0.3</v>
      </c>
      <c r="H198" s="80"/>
      <c r="I198" s="80"/>
      <c r="J198" s="80"/>
      <c r="K198" s="80"/>
      <c r="L198" s="80"/>
      <c r="M198" s="80"/>
      <c r="N198" s="80"/>
      <c r="O198" s="80"/>
    </row>
    <row r="199" spans="1:15" x14ac:dyDescent="0.25">
      <c r="A199" s="80"/>
      <c r="B199" s="80"/>
      <c r="C199" s="126" t="s">
        <v>29</v>
      </c>
      <c r="D199" s="127" t="s">
        <v>515</v>
      </c>
      <c r="E199" s="80">
        <v>12.81</v>
      </c>
      <c r="F199" s="80">
        <v>0.15</v>
      </c>
      <c r="G199" s="80">
        <v>0.3</v>
      </c>
      <c r="H199" s="80"/>
      <c r="I199" s="80"/>
      <c r="J199" s="80"/>
      <c r="K199" s="80"/>
      <c r="L199" s="80"/>
      <c r="M199" s="80"/>
      <c r="N199" s="80"/>
      <c r="O199" s="80"/>
    </row>
    <row r="200" spans="1:15" x14ac:dyDescent="0.25">
      <c r="A200" s="80"/>
      <c r="B200" s="80"/>
      <c r="C200" s="126" t="s">
        <v>396</v>
      </c>
      <c r="D200" s="127" t="s">
        <v>511</v>
      </c>
      <c r="E200" s="80">
        <v>17.72</v>
      </c>
      <c r="F200" s="80">
        <v>0.15</v>
      </c>
      <c r="G200" s="80">
        <v>0.3</v>
      </c>
      <c r="H200" s="80"/>
      <c r="I200" s="80"/>
      <c r="J200" s="80"/>
      <c r="K200" s="80"/>
      <c r="L200" s="80"/>
      <c r="M200" s="80"/>
      <c r="N200" s="80"/>
      <c r="O200" s="80"/>
    </row>
    <row r="201" spans="1:15" x14ac:dyDescent="0.25">
      <c r="A201" s="80"/>
      <c r="B201" s="80" t="s">
        <v>523</v>
      </c>
      <c r="C201" s="126"/>
      <c r="D201" s="127"/>
      <c r="E201" s="80"/>
      <c r="F201" s="80"/>
      <c r="G201" s="80"/>
      <c r="H201" s="80"/>
      <c r="I201" s="80"/>
      <c r="J201" s="80"/>
      <c r="K201" s="80"/>
      <c r="L201" s="80"/>
      <c r="M201" s="80"/>
      <c r="N201" s="80"/>
      <c r="O201" s="80"/>
    </row>
    <row r="202" spans="1:15" x14ac:dyDescent="0.25">
      <c r="A202" s="80"/>
      <c r="B202" s="80"/>
      <c r="C202" s="126">
        <v>3</v>
      </c>
      <c r="D202" s="127" t="s">
        <v>508</v>
      </c>
      <c r="E202" s="80">
        <v>4.13</v>
      </c>
      <c r="F202" s="80">
        <v>0.15</v>
      </c>
      <c r="G202" s="80">
        <v>0.3</v>
      </c>
      <c r="H202" s="80"/>
      <c r="I202" s="80"/>
      <c r="J202" s="80"/>
      <c r="K202" s="80"/>
      <c r="L202" s="80"/>
      <c r="M202" s="80"/>
      <c r="N202" s="80"/>
      <c r="O202" s="80"/>
    </row>
    <row r="203" spans="1:15" x14ac:dyDescent="0.25">
      <c r="A203" s="80"/>
      <c r="B203" s="80"/>
      <c r="C203" s="80">
        <v>4</v>
      </c>
      <c r="D203" s="124" t="s">
        <v>26</v>
      </c>
      <c r="E203" s="80">
        <v>2.57</v>
      </c>
      <c r="F203" s="80">
        <v>0.15</v>
      </c>
      <c r="G203" s="80">
        <v>0.3</v>
      </c>
      <c r="H203" s="80"/>
      <c r="I203" s="80"/>
      <c r="J203" s="80"/>
      <c r="K203" s="80"/>
      <c r="L203" s="80"/>
      <c r="M203" s="80"/>
      <c r="N203" s="80"/>
      <c r="O203" s="80"/>
    </row>
    <row r="204" spans="1:15" x14ac:dyDescent="0.25">
      <c r="A204" s="80"/>
      <c r="B204" s="80"/>
      <c r="C204" s="80">
        <v>5</v>
      </c>
      <c r="D204" s="124" t="s">
        <v>509</v>
      </c>
      <c r="E204" s="80">
        <v>4.04</v>
      </c>
      <c r="F204" s="80">
        <v>0.15</v>
      </c>
      <c r="G204" s="80">
        <v>0.3</v>
      </c>
      <c r="H204" s="80"/>
      <c r="I204" s="80"/>
      <c r="J204" s="80"/>
      <c r="K204" s="80"/>
      <c r="L204" s="80"/>
      <c r="M204" s="80"/>
      <c r="N204" s="80"/>
      <c r="O204" s="80"/>
    </row>
    <row r="205" spans="1:15" x14ac:dyDescent="0.25">
      <c r="A205" s="80"/>
      <c r="B205" s="80"/>
      <c r="C205" s="80">
        <v>6</v>
      </c>
      <c r="D205" s="124" t="s">
        <v>510</v>
      </c>
      <c r="E205" s="80">
        <v>2.8</v>
      </c>
      <c r="F205" s="80">
        <v>0.15</v>
      </c>
      <c r="G205" s="80">
        <v>0.3</v>
      </c>
      <c r="H205" s="80"/>
      <c r="I205" s="80"/>
      <c r="J205" s="80"/>
      <c r="K205" s="80"/>
      <c r="L205" s="80"/>
      <c r="M205" s="80"/>
      <c r="N205" s="80"/>
      <c r="O205" s="80"/>
    </row>
    <row r="206" spans="1:15" x14ac:dyDescent="0.25">
      <c r="A206" s="80"/>
      <c r="B206" s="80"/>
      <c r="C206" s="80">
        <v>7</v>
      </c>
      <c r="D206" s="124" t="s">
        <v>26</v>
      </c>
      <c r="E206" s="80">
        <v>2.71</v>
      </c>
      <c r="F206" s="80">
        <v>0.15</v>
      </c>
      <c r="G206" s="80">
        <v>0.3</v>
      </c>
      <c r="H206" s="80"/>
      <c r="I206" s="80"/>
      <c r="J206" s="80"/>
      <c r="K206" s="80"/>
      <c r="L206" s="80"/>
      <c r="M206" s="80"/>
      <c r="N206" s="80"/>
      <c r="O206" s="80"/>
    </row>
    <row r="207" spans="1:15" x14ac:dyDescent="0.25">
      <c r="A207" s="80"/>
      <c r="B207" s="80"/>
      <c r="C207" s="80">
        <v>8</v>
      </c>
      <c r="D207" s="124" t="s">
        <v>510</v>
      </c>
      <c r="E207" s="80">
        <v>2.4</v>
      </c>
      <c r="F207" s="80">
        <v>0.15</v>
      </c>
      <c r="G207" s="80">
        <v>0.3</v>
      </c>
      <c r="H207" s="80"/>
      <c r="I207" s="80"/>
      <c r="J207" s="80"/>
      <c r="K207" s="80"/>
      <c r="L207" s="80"/>
      <c r="M207" s="80"/>
      <c r="N207" s="80"/>
      <c r="O207" s="80"/>
    </row>
    <row r="208" spans="1:15" x14ac:dyDescent="0.25">
      <c r="A208" s="80"/>
      <c r="B208" s="80"/>
      <c r="C208" s="80">
        <v>8</v>
      </c>
      <c r="D208" s="124" t="s">
        <v>26</v>
      </c>
      <c r="E208" s="80">
        <v>2.71</v>
      </c>
      <c r="F208" s="80">
        <v>0.15</v>
      </c>
      <c r="G208" s="80">
        <v>0.3</v>
      </c>
      <c r="H208" s="80"/>
      <c r="I208" s="80"/>
      <c r="J208" s="80"/>
      <c r="K208" s="80"/>
      <c r="L208" s="80"/>
      <c r="M208" s="80"/>
      <c r="N208" s="80"/>
      <c r="O208" s="80"/>
    </row>
    <row r="209" spans="1:15" x14ac:dyDescent="0.25">
      <c r="A209" s="80"/>
      <c r="B209" s="80"/>
      <c r="C209" s="80">
        <v>9</v>
      </c>
      <c r="D209" s="124" t="s">
        <v>28</v>
      </c>
      <c r="E209" s="80">
        <v>6.84</v>
      </c>
      <c r="F209" s="80">
        <v>0.15</v>
      </c>
      <c r="G209" s="80">
        <v>0.3</v>
      </c>
      <c r="H209" s="80"/>
      <c r="I209" s="80"/>
      <c r="J209" s="80"/>
      <c r="K209" s="80"/>
      <c r="L209" s="80"/>
      <c r="M209" s="80"/>
      <c r="N209" s="80"/>
      <c r="O209" s="80"/>
    </row>
    <row r="210" spans="1:15" x14ac:dyDescent="0.25">
      <c r="A210" s="80"/>
      <c r="B210" s="80"/>
      <c r="C210" s="126" t="s">
        <v>17</v>
      </c>
      <c r="D210" s="127" t="s">
        <v>512</v>
      </c>
      <c r="E210" s="80">
        <v>15.04</v>
      </c>
      <c r="F210" s="80">
        <v>0.15</v>
      </c>
      <c r="G210" s="80">
        <v>0.3</v>
      </c>
      <c r="H210" s="80"/>
      <c r="I210" s="80"/>
      <c r="J210" s="80"/>
      <c r="K210" s="80"/>
      <c r="L210" s="80"/>
      <c r="M210" s="80"/>
      <c r="N210" s="80"/>
      <c r="O210" s="80"/>
    </row>
    <row r="211" spans="1:15" x14ac:dyDescent="0.25">
      <c r="A211" s="80"/>
      <c r="B211" s="80"/>
      <c r="C211" s="126" t="s">
        <v>18</v>
      </c>
      <c r="D211" s="124" t="s">
        <v>529</v>
      </c>
      <c r="E211" s="80">
        <v>4.3600000000000003</v>
      </c>
      <c r="F211" s="80">
        <v>0.15</v>
      </c>
      <c r="G211" s="80">
        <v>0.3</v>
      </c>
      <c r="H211" s="80"/>
      <c r="I211" s="80"/>
      <c r="J211" s="80"/>
      <c r="K211" s="80"/>
      <c r="L211" s="80"/>
      <c r="M211" s="80"/>
      <c r="N211" s="80"/>
      <c r="O211" s="80"/>
    </row>
    <row r="212" spans="1:15" x14ac:dyDescent="0.25">
      <c r="A212" s="80"/>
      <c r="B212" s="80"/>
      <c r="C212" s="126" t="s">
        <v>18</v>
      </c>
      <c r="D212" s="127" t="s">
        <v>530</v>
      </c>
      <c r="E212" s="80">
        <v>6.2</v>
      </c>
      <c r="F212" s="80">
        <v>0.15</v>
      </c>
      <c r="G212" s="80">
        <v>0.3</v>
      </c>
      <c r="H212" s="80"/>
      <c r="I212" s="80"/>
      <c r="J212" s="80"/>
      <c r="K212" s="80"/>
      <c r="L212" s="80"/>
      <c r="M212" s="80"/>
      <c r="N212" s="80"/>
      <c r="O212" s="80"/>
    </row>
    <row r="213" spans="1:15" x14ac:dyDescent="0.25">
      <c r="A213" s="80"/>
      <c r="B213" s="80"/>
      <c r="C213" s="126" t="s">
        <v>19</v>
      </c>
      <c r="D213" s="124" t="s">
        <v>516</v>
      </c>
      <c r="E213" s="80">
        <v>1</v>
      </c>
      <c r="F213" s="80">
        <v>0.15</v>
      </c>
      <c r="G213" s="80">
        <v>0.3</v>
      </c>
      <c r="H213" s="80"/>
      <c r="I213" s="80"/>
      <c r="J213" s="80"/>
      <c r="K213" s="80"/>
      <c r="L213" s="80"/>
      <c r="M213" s="80"/>
      <c r="N213" s="80"/>
      <c r="O213" s="80"/>
    </row>
    <row r="214" spans="1:15" x14ac:dyDescent="0.25">
      <c r="A214" s="80"/>
      <c r="B214" s="80"/>
      <c r="C214" s="126" t="s">
        <v>19</v>
      </c>
      <c r="D214" s="124" t="s">
        <v>524</v>
      </c>
      <c r="E214" s="80">
        <v>6.9</v>
      </c>
      <c r="F214" s="80">
        <v>0.15</v>
      </c>
      <c r="G214" s="80">
        <v>0.3</v>
      </c>
      <c r="H214" s="80"/>
      <c r="I214" s="80"/>
      <c r="J214" s="80"/>
      <c r="K214" s="80"/>
      <c r="L214" s="80"/>
      <c r="M214" s="80"/>
      <c r="N214" s="80"/>
      <c r="O214" s="80"/>
    </row>
    <row r="215" spans="1:15" x14ac:dyDescent="0.25">
      <c r="A215" s="80"/>
      <c r="B215" s="80"/>
      <c r="C215" s="126" t="s">
        <v>29</v>
      </c>
      <c r="D215" s="127" t="s">
        <v>531</v>
      </c>
      <c r="E215" s="80">
        <v>12.81</v>
      </c>
      <c r="F215" s="80">
        <v>0.15</v>
      </c>
      <c r="G215" s="80">
        <v>0.3</v>
      </c>
      <c r="H215" s="80"/>
      <c r="I215" s="80"/>
      <c r="J215" s="80"/>
      <c r="K215" s="80"/>
      <c r="L215" s="80"/>
      <c r="M215" s="80"/>
      <c r="N215" s="80"/>
      <c r="O215" s="80"/>
    </row>
    <row r="216" spans="1:15" x14ac:dyDescent="0.25">
      <c r="A216" s="80"/>
      <c r="B216" s="80"/>
      <c r="C216" s="126"/>
      <c r="D216" s="127"/>
      <c r="E216" s="80"/>
      <c r="F216" s="80"/>
      <c r="G216" s="80"/>
      <c r="H216" s="80"/>
      <c r="I216" s="80"/>
      <c r="J216" s="80"/>
      <c r="K216" s="80"/>
      <c r="L216" s="80"/>
      <c r="M216" s="80"/>
      <c r="N216" s="80"/>
      <c r="O216" s="80"/>
    </row>
    <row r="217" spans="1:15" x14ac:dyDescent="0.25">
      <c r="A217" s="80"/>
      <c r="B217" s="80"/>
      <c r="C217" s="80"/>
      <c r="D217" s="80"/>
      <c r="E217" s="80"/>
      <c r="F217" s="80"/>
      <c r="G217" s="80"/>
      <c r="H217" s="80"/>
      <c r="I217" s="80"/>
      <c r="J217" s="80"/>
      <c r="K217" s="80"/>
      <c r="L217" s="80"/>
      <c r="M217" s="80"/>
      <c r="N217" s="80"/>
      <c r="O217" s="80"/>
    </row>
    <row r="218" spans="1:15" x14ac:dyDescent="0.25">
      <c r="A218" s="144" t="s">
        <v>32</v>
      </c>
      <c r="B218" s="144"/>
      <c r="C218" s="144"/>
      <c r="D218" s="144"/>
      <c r="E218" s="144"/>
      <c r="F218" s="144"/>
      <c r="G218" s="144"/>
      <c r="H218" s="144"/>
      <c r="I218" s="144"/>
      <c r="J218" s="144"/>
      <c r="K218" s="144"/>
      <c r="L218" s="144"/>
      <c r="M218" s="144"/>
      <c r="N218" s="144"/>
      <c r="O218" s="80"/>
    </row>
    <row r="219" spans="1:15" ht="30" x14ac:dyDescent="0.25">
      <c r="A219" s="105" t="s">
        <v>1</v>
      </c>
      <c r="B219" s="105" t="s">
        <v>2</v>
      </c>
      <c r="C219" s="105" t="s">
        <v>3</v>
      </c>
      <c r="D219" s="105" t="s">
        <v>4</v>
      </c>
      <c r="E219" s="105" t="s">
        <v>5</v>
      </c>
      <c r="F219" s="105" t="s">
        <v>6</v>
      </c>
      <c r="G219" s="105" t="s">
        <v>7</v>
      </c>
      <c r="H219" s="105" t="s">
        <v>8</v>
      </c>
      <c r="I219" s="105" t="s">
        <v>9</v>
      </c>
      <c r="J219" s="105" t="s">
        <v>12</v>
      </c>
      <c r="K219" s="105" t="s">
        <v>11</v>
      </c>
      <c r="L219" s="105" t="s">
        <v>10</v>
      </c>
      <c r="M219" s="106" t="s">
        <v>353</v>
      </c>
      <c r="N219" s="105" t="s">
        <v>351</v>
      </c>
      <c r="O219" s="80"/>
    </row>
    <row r="220" spans="1:15" ht="121.5" customHeight="1" x14ac:dyDescent="0.25">
      <c r="A220" s="109"/>
      <c r="B220" s="121" t="s">
        <v>199</v>
      </c>
      <c r="C220" s="80"/>
      <c r="D220" s="80"/>
      <c r="E220" s="80"/>
      <c r="F220" s="80"/>
      <c r="G220" s="80"/>
      <c r="H220" s="80"/>
      <c r="I220" s="80"/>
      <c r="J220" s="123">
        <v>82.61</v>
      </c>
      <c r="K220" s="113" t="s">
        <v>15</v>
      </c>
      <c r="L220" s="80"/>
      <c r="M220" s="114" t="s">
        <v>364</v>
      </c>
      <c r="N220" s="114"/>
      <c r="O220" s="80"/>
    </row>
    <row r="221" spans="1:15" ht="122.25" customHeight="1" x14ac:dyDescent="0.25">
      <c r="A221" s="109"/>
      <c r="B221" s="121" t="s">
        <v>96</v>
      </c>
      <c r="C221" s="119"/>
      <c r="D221" s="109"/>
      <c r="E221" s="124"/>
      <c r="F221" s="124"/>
      <c r="G221" s="80"/>
      <c r="H221" s="80"/>
      <c r="I221" s="125"/>
      <c r="J221" s="123">
        <v>83.12</v>
      </c>
      <c r="K221" s="112" t="str">
        <f>K223</f>
        <v>M²</v>
      </c>
      <c r="L221" s="122" t="s">
        <v>533</v>
      </c>
      <c r="M221" s="144" t="s">
        <v>365</v>
      </c>
      <c r="N221" s="144"/>
      <c r="O221" s="80"/>
    </row>
    <row r="222" spans="1:15" ht="114.75" customHeight="1" x14ac:dyDescent="0.25">
      <c r="A222" s="109"/>
      <c r="B222" s="121" t="s">
        <v>97</v>
      </c>
      <c r="C222" s="119"/>
      <c r="D222" s="109"/>
      <c r="E222" s="124"/>
      <c r="F222" s="124"/>
      <c r="G222" s="80"/>
      <c r="H222" s="80"/>
      <c r="I222" s="125"/>
      <c r="J222" s="123">
        <v>7.8</v>
      </c>
      <c r="K222" s="112" t="s">
        <v>15</v>
      </c>
      <c r="L222" s="122" t="s">
        <v>535</v>
      </c>
      <c r="M222" s="144"/>
      <c r="N222" s="144"/>
      <c r="O222" s="80"/>
    </row>
    <row r="223" spans="1:15" ht="116.25" customHeight="1" x14ac:dyDescent="0.25">
      <c r="A223" s="109"/>
      <c r="B223" s="121" t="s">
        <v>534</v>
      </c>
      <c r="C223" s="119"/>
      <c r="D223" s="109"/>
      <c r="E223" s="124"/>
      <c r="F223" s="124"/>
      <c r="G223" s="80"/>
      <c r="H223" s="80"/>
      <c r="I223" s="125"/>
      <c r="J223" s="112">
        <v>12.5</v>
      </c>
      <c r="K223" s="112" t="str">
        <f>K220</f>
        <v>M²</v>
      </c>
      <c r="L223" s="109" t="s">
        <v>536</v>
      </c>
      <c r="M223" s="144"/>
      <c r="N223" s="144"/>
      <c r="O223" s="80"/>
    </row>
    <row r="224" spans="1:15" ht="146.25" customHeight="1" x14ac:dyDescent="0.25">
      <c r="A224" s="109"/>
      <c r="B224" s="121" t="s">
        <v>537</v>
      </c>
      <c r="C224" s="119"/>
      <c r="D224" s="109"/>
      <c r="E224" s="124"/>
      <c r="F224" s="124"/>
      <c r="G224" s="80"/>
      <c r="H224" s="80"/>
      <c r="I224" s="125"/>
      <c r="J224" s="112">
        <v>59.8</v>
      </c>
      <c r="K224" s="112"/>
      <c r="L224" s="109" t="s">
        <v>538</v>
      </c>
      <c r="M224" s="114"/>
      <c r="N224" s="114"/>
      <c r="O224" s="80"/>
    </row>
    <row r="225" spans="1:15" x14ac:dyDescent="0.25">
      <c r="A225" s="144" t="s">
        <v>95</v>
      </c>
      <c r="B225" s="144"/>
      <c r="C225" s="144"/>
      <c r="D225" s="144"/>
      <c r="E225" s="144"/>
      <c r="F225" s="144"/>
      <c r="G225" s="144"/>
      <c r="H225" s="144"/>
      <c r="I225" s="144"/>
      <c r="J225" s="144"/>
      <c r="K225" s="144"/>
      <c r="L225" s="144"/>
      <c r="M225" s="144"/>
      <c r="N225" s="144"/>
      <c r="O225" s="80"/>
    </row>
    <row r="226" spans="1:15" ht="30" x14ac:dyDescent="0.25">
      <c r="A226" s="105" t="s">
        <v>1</v>
      </c>
      <c r="B226" s="105" t="s">
        <v>2</v>
      </c>
      <c r="C226" s="105" t="s">
        <v>3</v>
      </c>
      <c r="D226" s="105" t="s">
        <v>4</v>
      </c>
      <c r="E226" s="105" t="s">
        <v>5</v>
      </c>
      <c r="F226" s="105" t="s">
        <v>6</v>
      </c>
      <c r="G226" s="105" t="s">
        <v>7</v>
      </c>
      <c r="H226" s="105" t="s">
        <v>8</v>
      </c>
      <c r="I226" s="105" t="s">
        <v>9</v>
      </c>
      <c r="J226" s="105" t="s">
        <v>12</v>
      </c>
      <c r="K226" s="105" t="s">
        <v>11</v>
      </c>
      <c r="L226" s="105" t="s">
        <v>10</v>
      </c>
      <c r="M226" s="106" t="s">
        <v>353</v>
      </c>
      <c r="N226" s="105" t="s">
        <v>351</v>
      </c>
      <c r="O226" s="80"/>
    </row>
    <row r="227" spans="1:15" ht="121.5" customHeight="1" x14ac:dyDescent="0.25">
      <c r="A227" s="109"/>
      <c r="B227" s="121" t="s">
        <v>540</v>
      </c>
      <c r="C227" s="80"/>
      <c r="D227" s="80"/>
      <c r="E227" s="80"/>
      <c r="F227" s="109">
        <v>1.5</v>
      </c>
      <c r="G227" s="109">
        <v>1.1000000000000001</v>
      </c>
      <c r="H227" s="109">
        <v>9</v>
      </c>
      <c r="I227" s="80"/>
      <c r="J227" s="112">
        <f t="shared" ref="J227:J233" si="8">H227</f>
        <v>9</v>
      </c>
      <c r="K227" s="112" t="s">
        <v>34</v>
      </c>
      <c r="L227" s="80"/>
      <c r="M227" s="144" t="s">
        <v>366</v>
      </c>
      <c r="N227" s="144"/>
      <c r="O227" s="80"/>
    </row>
    <row r="228" spans="1:15" ht="108.75" customHeight="1" x14ac:dyDescent="0.25">
      <c r="A228" s="109"/>
      <c r="B228" s="121" t="s">
        <v>541</v>
      </c>
      <c r="C228" s="80"/>
      <c r="D228" s="80"/>
      <c r="E228" s="80"/>
      <c r="F228" s="109">
        <v>2</v>
      </c>
      <c r="G228" s="109">
        <v>1.1000000000000001</v>
      </c>
      <c r="H228" s="109">
        <v>2</v>
      </c>
      <c r="I228" s="80"/>
      <c r="J228" s="112">
        <f t="shared" si="8"/>
        <v>2</v>
      </c>
      <c r="K228" s="112" t="s">
        <v>34</v>
      </c>
      <c r="L228" s="80"/>
      <c r="M228" s="144"/>
      <c r="N228" s="144"/>
      <c r="O228" s="80"/>
    </row>
    <row r="229" spans="1:15" ht="148.5" customHeight="1" x14ac:dyDescent="0.25">
      <c r="A229" s="109"/>
      <c r="B229" s="110" t="s">
        <v>98</v>
      </c>
      <c r="C229" s="80"/>
      <c r="D229" s="80"/>
      <c r="E229" s="80"/>
      <c r="F229" s="80"/>
      <c r="G229" s="80"/>
      <c r="H229" s="109">
        <v>1</v>
      </c>
      <c r="I229" s="80"/>
      <c r="J229" s="112">
        <f t="shared" si="8"/>
        <v>1</v>
      </c>
      <c r="K229" s="112" t="s">
        <v>34</v>
      </c>
      <c r="L229" s="80"/>
      <c r="M229" s="144" t="s">
        <v>391</v>
      </c>
      <c r="N229" s="144"/>
      <c r="O229" s="80"/>
    </row>
    <row r="230" spans="1:15" ht="138.75" customHeight="1" x14ac:dyDescent="0.25">
      <c r="A230" s="109"/>
      <c r="B230" s="110" t="s">
        <v>201</v>
      </c>
      <c r="C230" s="80"/>
      <c r="D230" s="80"/>
      <c r="E230" s="80"/>
      <c r="F230" s="80"/>
      <c r="G230" s="80"/>
      <c r="H230" s="109">
        <v>1</v>
      </c>
      <c r="I230" s="80"/>
      <c r="J230" s="112">
        <f t="shared" si="8"/>
        <v>1</v>
      </c>
      <c r="K230" s="112" t="s">
        <v>34</v>
      </c>
      <c r="L230" s="80"/>
      <c r="M230" s="144"/>
      <c r="N230" s="144"/>
      <c r="O230" s="80"/>
    </row>
    <row r="231" spans="1:15" ht="131.25" customHeight="1" x14ac:dyDescent="0.25">
      <c r="A231" s="109"/>
      <c r="B231" s="110" t="s">
        <v>107</v>
      </c>
      <c r="C231" s="80"/>
      <c r="D231" s="80"/>
      <c r="E231" s="80"/>
      <c r="F231" s="80"/>
      <c r="G231" s="80"/>
      <c r="H231" s="109">
        <v>1</v>
      </c>
      <c r="I231" s="80"/>
      <c r="J231" s="112">
        <f t="shared" si="8"/>
        <v>1</v>
      </c>
      <c r="K231" s="112" t="s">
        <v>34</v>
      </c>
      <c r="L231" s="80"/>
      <c r="M231" s="144"/>
      <c r="N231" s="144"/>
      <c r="O231" s="80"/>
    </row>
    <row r="232" spans="1:15" ht="120" customHeight="1" x14ac:dyDescent="0.25">
      <c r="A232" s="109"/>
      <c r="B232" s="110" t="s">
        <v>125</v>
      </c>
      <c r="C232" s="80"/>
      <c r="D232" s="80"/>
      <c r="E232" s="80"/>
      <c r="F232" s="80"/>
      <c r="G232" s="80"/>
      <c r="H232" s="109">
        <v>1</v>
      </c>
      <c r="I232" s="80"/>
      <c r="J232" s="112">
        <f t="shared" si="8"/>
        <v>1</v>
      </c>
      <c r="K232" s="112" t="s">
        <v>34</v>
      </c>
      <c r="L232" s="80"/>
      <c r="M232" s="144"/>
      <c r="N232" s="144"/>
      <c r="O232" s="80"/>
    </row>
    <row r="233" spans="1:15" ht="128.25" customHeight="1" x14ac:dyDescent="0.25">
      <c r="A233" s="109"/>
      <c r="B233" s="110" t="s">
        <v>108</v>
      </c>
      <c r="C233" s="80"/>
      <c r="D233" s="80"/>
      <c r="E233" s="80"/>
      <c r="F233" s="80"/>
      <c r="G233" s="80"/>
      <c r="H233" s="109">
        <v>1</v>
      </c>
      <c r="I233" s="80"/>
      <c r="J233" s="112">
        <f t="shared" si="8"/>
        <v>1</v>
      </c>
      <c r="K233" s="112" t="s">
        <v>34</v>
      </c>
      <c r="L233" s="80"/>
      <c r="M233" s="144"/>
      <c r="N233" s="144"/>
      <c r="O233" s="80"/>
    </row>
    <row r="234" spans="1:15" x14ac:dyDescent="0.25">
      <c r="A234" s="144" t="s">
        <v>111</v>
      </c>
      <c r="B234" s="144"/>
      <c r="C234" s="144"/>
      <c r="D234" s="144"/>
      <c r="E234" s="144"/>
      <c r="F234" s="144"/>
      <c r="G234" s="144"/>
      <c r="H234" s="144"/>
      <c r="I234" s="144"/>
      <c r="J234" s="144"/>
      <c r="K234" s="144"/>
      <c r="L234" s="144"/>
      <c r="M234" s="144"/>
      <c r="N234" s="144"/>
      <c r="O234" s="80"/>
    </row>
    <row r="235" spans="1:15" ht="30" x14ac:dyDescent="0.25">
      <c r="A235" s="105" t="s">
        <v>1</v>
      </c>
      <c r="B235" s="105" t="s">
        <v>2</v>
      </c>
      <c r="C235" s="105" t="s">
        <v>3</v>
      </c>
      <c r="D235" s="105" t="s">
        <v>4</v>
      </c>
      <c r="E235" s="105" t="s">
        <v>5</v>
      </c>
      <c r="F235" s="105" t="s">
        <v>6</v>
      </c>
      <c r="G235" s="105" t="s">
        <v>7</v>
      </c>
      <c r="H235" s="105" t="s">
        <v>8</v>
      </c>
      <c r="I235" s="105" t="s">
        <v>9</v>
      </c>
      <c r="J235" s="105" t="s">
        <v>12</v>
      </c>
      <c r="K235" s="105" t="s">
        <v>11</v>
      </c>
      <c r="L235" s="105" t="s">
        <v>10</v>
      </c>
      <c r="M235" s="106" t="s">
        <v>353</v>
      </c>
      <c r="N235" s="105" t="s">
        <v>351</v>
      </c>
      <c r="O235" s="80"/>
    </row>
    <row r="236" spans="1:15" ht="150" x14ac:dyDescent="0.25">
      <c r="A236" s="109"/>
      <c r="B236" s="128" t="s">
        <v>203</v>
      </c>
      <c r="C236" s="80"/>
      <c r="D236" s="80"/>
      <c r="E236" s="80"/>
      <c r="F236" s="80"/>
      <c r="G236" s="80"/>
      <c r="H236" s="80"/>
      <c r="I236" s="80"/>
      <c r="J236" s="112">
        <f>I237+I238+I239</f>
        <v>32.369999999999997</v>
      </c>
      <c r="K236" s="113" t="s">
        <v>15</v>
      </c>
      <c r="L236" s="80"/>
      <c r="M236" s="114" t="s">
        <v>367</v>
      </c>
      <c r="N236" s="114"/>
      <c r="O236" s="80"/>
    </row>
    <row r="237" spans="1:15" x14ac:dyDescent="0.25">
      <c r="A237" s="80"/>
      <c r="B237" s="80"/>
      <c r="C237" s="119" t="s">
        <v>25</v>
      </c>
      <c r="D237" s="80"/>
      <c r="E237" s="80"/>
      <c r="F237" s="80"/>
      <c r="G237" s="80"/>
      <c r="H237" s="80"/>
      <c r="I237" s="80">
        <v>32.369999999999997</v>
      </c>
      <c r="J237" s="80"/>
      <c r="K237" s="80"/>
      <c r="L237" s="80"/>
      <c r="M237" s="80"/>
      <c r="N237" s="80"/>
      <c r="O237" s="80"/>
    </row>
    <row r="238" spans="1:15" x14ac:dyDescent="0.25">
      <c r="A238" s="80"/>
      <c r="B238" s="80"/>
      <c r="C238" s="119"/>
      <c r="D238" s="80"/>
      <c r="E238" s="80"/>
      <c r="F238" s="80"/>
      <c r="G238" s="80"/>
      <c r="H238" s="80"/>
      <c r="I238" s="80"/>
      <c r="J238" s="80"/>
      <c r="K238" s="80"/>
      <c r="L238" s="80"/>
      <c r="M238" s="80"/>
      <c r="N238" s="80"/>
      <c r="O238" s="80"/>
    </row>
    <row r="239" spans="1:15" x14ac:dyDescent="0.25">
      <c r="A239" s="80"/>
      <c r="B239" s="80"/>
      <c r="C239" s="119"/>
      <c r="D239" s="80"/>
      <c r="E239" s="80"/>
      <c r="F239" s="80"/>
      <c r="G239" s="80"/>
      <c r="H239" s="80"/>
      <c r="I239" s="80"/>
      <c r="J239" s="80"/>
      <c r="K239" s="80"/>
      <c r="L239" s="80"/>
      <c r="M239" s="80"/>
      <c r="N239" s="80"/>
      <c r="O239" s="80"/>
    </row>
    <row r="240" spans="1:15" x14ac:dyDescent="0.25">
      <c r="A240" s="80"/>
      <c r="B240" s="80"/>
      <c r="C240" s="80"/>
      <c r="D240" s="80"/>
      <c r="E240" s="80"/>
      <c r="F240" s="80"/>
      <c r="G240" s="80"/>
      <c r="H240" s="80"/>
      <c r="I240" s="80"/>
      <c r="J240" s="80"/>
      <c r="K240" s="80"/>
      <c r="L240" s="80"/>
      <c r="M240" s="80"/>
      <c r="N240" s="80"/>
      <c r="O240" s="80"/>
    </row>
    <row r="241" spans="1:15" x14ac:dyDescent="0.25">
      <c r="A241" s="144" t="s">
        <v>112</v>
      </c>
      <c r="B241" s="144"/>
      <c r="C241" s="144"/>
      <c r="D241" s="144"/>
      <c r="E241" s="144"/>
      <c r="F241" s="144"/>
      <c r="G241" s="144"/>
      <c r="H241" s="144"/>
      <c r="I241" s="144"/>
      <c r="J241" s="144"/>
      <c r="K241" s="144"/>
      <c r="L241" s="144"/>
      <c r="M241" s="144"/>
      <c r="N241" s="144"/>
      <c r="O241" s="80"/>
    </row>
    <row r="242" spans="1:15" ht="30" x14ac:dyDescent="0.25">
      <c r="A242" s="105" t="s">
        <v>1</v>
      </c>
      <c r="B242" s="105" t="s">
        <v>2</v>
      </c>
      <c r="C242" s="105" t="s">
        <v>3</v>
      </c>
      <c r="D242" s="105" t="s">
        <v>4</v>
      </c>
      <c r="E242" s="105" t="s">
        <v>5</v>
      </c>
      <c r="F242" s="105" t="s">
        <v>6</v>
      </c>
      <c r="G242" s="105" t="s">
        <v>7</v>
      </c>
      <c r="H242" s="105" t="s">
        <v>8</v>
      </c>
      <c r="I242" s="105" t="s">
        <v>9</v>
      </c>
      <c r="J242" s="105" t="s">
        <v>12</v>
      </c>
      <c r="K242" s="105" t="s">
        <v>11</v>
      </c>
      <c r="L242" s="105" t="s">
        <v>10</v>
      </c>
      <c r="M242" s="106" t="s">
        <v>353</v>
      </c>
      <c r="N242" s="105" t="s">
        <v>351</v>
      </c>
      <c r="O242" s="80"/>
    </row>
    <row r="243" spans="1:15" ht="195" x14ac:dyDescent="0.25">
      <c r="A243" s="109"/>
      <c r="B243" s="128" t="s">
        <v>187</v>
      </c>
      <c r="C243" s="80"/>
      <c r="D243" s="80"/>
      <c r="E243" s="80"/>
      <c r="F243" s="80"/>
      <c r="G243" s="80"/>
      <c r="H243" s="109">
        <v>1</v>
      </c>
      <c r="I243" s="80"/>
      <c r="J243" s="112">
        <v>1</v>
      </c>
      <c r="K243" s="112" t="s">
        <v>191</v>
      </c>
      <c r="L243" s="80"/>
      <c r="M243" s="144" t="s">
        <v>393</v>
      </c>
      <c r="N243" s="144"/>
      <c r="O243" s="80"/>
    </row>
    <row r="244" spans="1:15" ht="180" x14ac:dyDescent="0.25">
      <c r="A244" s="109"/>
      <c r="B244" s="131" t="s">
        <v>188</v>
      </c>
      <c r="C244" s="80"/>
      <c r="D244" s="80"/>
      <c r="E244" s="80"/>
      <c r="F244" s="80"/>
      <c r="G244" s="80"/>
      <c r="H244" s="109">
        <v>2</v>
      </c>
      <c r="I244" s="80"/>
      <c r="J244" s="112">
        <v>2</v>
      </c>
      <c r="K244" s="112" t="s">
        <v>191</v>
      </c>
      <c r="L244" s="80"/>
      <c r="M244" s="144"/>
      <c r="N244" s="144"/>
      <c r="O244" s="80"/>
    </row>
    <row r="245" spans="1:15" ht="195" x14ac:dyDescent="0.25">
      <c r="A245" s="109"/>
      <c r="B245" s="118" t="s">
        <v>189</v>
      </c>
      <c r="C245" s="80"/>
      <c r="D245" s="80"/>
      <c r="E245" s="80"/>
      <c r="F245" s="80"/>
      <c r="G245" s="80"/>
      <c r="H245" s="109">
        <v>1</v>
      </c>
      <c r="I245" s="80"/>
      <c r="J245" s="112">
        <v>1</v>
      </c>
      <c r="K245" s="112" t="s">
        <v>191</v>
      </c>
      <c r="L245" s="80"/>
      <c r="M245" s="144"/>
      <c r="N245" s="144"/>
      <c r="O245" s="80"/>
    </row>
    <row r="246" spans="1:15" ht="195" x14ac:dyDescent="0.25">
      <c r="A246" s="109"/>
      <c r="B246" s="118" t="s">
        <v>526</v>
      </c>
      <c r="C246" s="80"/>
      <c r="D246" s="80"/>
      <c r="E246" s="80"/>
      <c r="F246" s="80"/>
      <c r="G246" s="80"/>
      <c r="H246" s="109">
        <v>1</v>
      </c>
      <c r="I246" s="80"/>
      <c r="J246" s="112">
        <v>1</v>
      </c>
      <c r="K246" s="112" t="s">
        <v>191</v>
      </c>
      <c r="L246" s="80"/>
      <c r="M246" s="144"/>
      <c r="N246" s="144"/>
      <c r="O246" s="80"/>
    </row>
    <row r="247" spans="1:15" ht="195" x14ac:dyDescent="0.25">
      <c r="A247" s="109"/>
      <c r="B247" s="118" t="s">
        <v>190</v>
      </c>
      <c r="C247" s="80"/>
      <c r="D247" s="80"/>
      <c r="E247" s="80"/>
      <c r="F247" s="80"/>
      <c r="G247" s="80"/>
      <c r="H247" s="109">
        <v>1</v>
      </c>
      <c r="I247" s="80"/>
      <c r="J247" s="112">
        <v>1</v>
      </c>
      <c r="K247" s="112" t="s">
        <v>191</v>
      </c>
      <c r="L247" s="80"/>
      <c r="M247" s="144"/>
      <c r="N247" s="144"/>
      <c r="O247" s="80"/>
    </row>
    <row r="248" spans="1:15" ht="180" x14ac:dyDescent="0.25">
      <c r="A248" s="109"/>
      <c r="B248" s="118" t="s">
        <v>192</v>
      </c>
      <c r="C248" s="80"/>
      <c r="D248" s="80"/>
      <c r="E248" s="80"/>
      <c r="F248" s="80"/>
      <c r="G248" s="80"/>
      <c r="H248" s="109">
        <v>2</v>
      </c>
      <c r="I248" s="80"/>
      <c r="J248" s="112">
        <f>H248</f>
        <v>2</v>
      </c>
      <c r="K248" s="112" t="s">
        <v>191</v>
      </c>
      <c r="L248" s="80"/>
      <c r="M248" s="144"/>
      <c r="N248" s="144"/>
      <c r="O248" s="80"/>
    </row>
    <row r="249" spans="1:15" x14ac:dyDescent="0.25">
      <c r="A249" s="144" t="s">
        <v>113</v>
      </c>
      <c r="B249" s="144"/>
      <c r="C249" s="144"/>
      <c r="D249" s="144"/>
      <c r="E249" s="144"/>
      <c r="F249" s="144"/>
      <c r="G249" s="144"/>
      <c r="H249" s="144"/>
      <c r="I249" s="144"/>
      <c r="J249" s="144"/>
      <c r="K249" s="144"/>
      <c r="L249" s="144"/>
      <c r="M249" s="144"/>
      <c r="N249" s="144"/>
      <c r="O249" s="80"/>
    </row>
    <row r="250" spans="1:15" ht="30" x14ac:dyDescent="0.25">
      <c r="A250" s="105" t="s">
        <v>1</v>
      </c>
      <c r="B250" s="105" t="s">
        <v>2</v>
      </c>
      <c r="C250" s="105" t="s">
        <v>3</v>
      </c>
      <c r="D250" s="105" t="s">
        <v>4</v>
      </c>
      <c r="E250" s="105" t="s">
        <v>5</v>
      </c>
      <c r="F250" s="105" t="s">
        <v>6</v>
      </c>
      <c r="G250" s="105" t="s">
        <v>7</v>
      </c>
      <c r="H250" s="105" t="s">
        <v>8</v>
      </c>
      <c r="I250" s="105" t="s">
        <v>9</v>
      </c>
      <c r="J250" s="105" t="s">
        <v>12</v>
      </c>
      <c r="K250" s="105" t="s">
        <v>11</v>
      </c>
      <c r="L250" s="105" t="s">
        <v>10</v>
      </c>
      <c r="M250" s="106" t="s">
        <v>353</v>
      </c>
      <c r="N250" s="105" t="s">
        <v>351</v>
      </c>
      <c r="O250" s="80"/>
    </row>
    <row r="251" spans="1:15" ht="173.25" customHeight="1" x14ac:dyDescent="0.25">
      <c r="A251" s="80"/>
      <c r="B251" s="110" t="s">
        <v>371</v>
      </c>
      <c r="C251" s="80"/>
      <c r="D251" s="80"/>
      <c r="E251" s="80"/>
      <c r="F251" s="80"/>
      <c r="G251" s="80"/>
      <c r="H251" s="109">
        <v>18</v>
      </c>
      <c r="I251" s="80"/>
      <c r="J251" s="112">
        <f>H251</f>
        <v>18</v>
      </c>
      <c r="K251" s="112" t="s">
        <v>191</v>
      </c>
      <c r="L251" s="80"/>
      <c r="M251" s="144" t="s">
        <v>395</v>
      </c>
      <c r="N251" s="144"/>
      <c r="O251" s="80"/>
    </row>
    <row r="252" spans="1:15" ht="177" customHeight="1" x14ac:dyDescent="0.25">
      <c r="A252" s="80"/>
      <c r="B252" s="110" t="s">
        <v>370</v>
      </c>
      <c r="C252" s="80"/>
      <c r="D252" s="80"/>
      <c r="E252" s="80"/>
      <c r="F252" s="80"/>
      <c r="G252" s="80"/>
      <c r="H252" s="109">
        <v>31</v>
      </c>
      <c r="I252" s="80"/>
      <c r="J252" s="112">
        <f>H252</f>
        <v>31</v>
      </c>
      <c r="K252" s="112" t="s">
        <v>191</v>
      </c>
      <c r="L252" s="80"/>
      <c r="M252" s="144"/>
      <c r="N252" s="144"/>
      <c r="O252" s="80"/>
    </row>
    <row r="253" spans="1:15" ht="135" x14ac:dyDescent="0.25">
      <c r="A253" s="80"/>
      <c r="B253" s="128" t="s">
        <v>372</v>
      </c>
      <c r="C253" s="80"/>
      <c r="D253" s="80"/>
      <c r="E253" s="80"/>
      <c r="F253" s="80"/>
      <c r="G253" s="80"/>
      <c r="H253" s="109">
        <v>18</v>
      </c>
      <c r="I253" s="80"/>
      <c r="J253" s="112">
        <f>H253</f>
        <v>18</v>
      </c>
      <c r="K253" s="112" t="s">
        <v>191</v>
      </c>
      <c r="L253" s="80"/>
      <c r="M253" s="114" t="s">
        <v>394</v>
      </c>
      <c r="N253" s="132"/>
      <c r="O253" s="80"/>
    </row>
    <row r="254" spans="1:15" ht="120" x14ac:dyDescent="0.25">
      <c r="A254" s="80"/>
      <c r="B254" s="128" t="s">
        <v>373</v>
      </c>
      <c r="C254" s="80"/>
      <c r="D254" s="80"/>
      <c r="E254" s="80"/>
      <c r="F254" s="80"/>
      <c r="G254" s="80"/>
      <c r="H254" s="109">
        <v>1</v>
      </c>
      <c r="I254" s="80"/>
      <c r="J254" s="112">
        <v>1</v>
      </c>
      <c r="K254" s="112" t="s">
        <v>191</v>
      </c>
      <c r="L254" s="80"/>
      <c r="M254" s="132"/>
      <c r="N254" s="132"/>
      <c r="O254" s="80"/>
    </row>
    <row r="255" spans="1:15" x14ac:dyDescent="0.25">
      <c r="A255" s="144" t="s">
        <v>114</v>
      </c>
      <c r="B255" s="144"/>
      <c r="C255" s="144"/>
      <c r="D255" s="144"/>
      <c r="E255" s="144"/>
      <c r="F255" s="144"/>
      <c r="G255" s="144"/>
      <c r="H255" s="144"/>
      <c r="I255" s="144"/>
      <c r="J255" s="144"/>
      <c r="K255" s="144"/>
      <c r="L255" s="144"/>
      <c r="M255" s="144"/>
      <c r="N255" s="144"/>
      <c r="O255" s="80"/>
    </row>
    <row r="256" spans="1:15" ht="30" x14ac:dyDescent="0.25">
      <c r="A256" s="105" t="s">
        <v>1</v>
      </c>
      <c r="B256" s="105" t="s">
        <v>2</v>
      </c>
      <c r="C256" s="105" t="s">
        <v>3</v>
      </c>
      <c r="D256" s="105" t="s">
        <v>4</v>
      </c>
      <c r="E256" s="105" t="s">
        <v>5</v>
      </c>
      <c r="F256" s="105" t="s">
        <v>6</v>
      </c>
      <c r="G256" s="105" t="s">
        <v>7</v>
      </c>
      <c r="H256" s="105" t="s">
        <v>8</v>
      </c>
      <c r="I256" s="105" t="s">
        <v>9</v>
      </c>
      <c r="J256" s="105" t="s">
        <v>12</v>
      </c>
      <c r="K256" s="105" t="s">
        <v>11</v>
      </c>
      <c r="L256" s="105" t="s">
        <v>10</v>
      </c>
      <c r="M256" s="106" t="s">
        <v>353</v>
      </c>
      <c r="N256" s="105" t="s">
        <v>351</v>
      </c>
      <c r="O256" s="80"/>
    </row>
    <row r="257" spans="1:15" ht="120" x14ac:dyDescent="0.25">
      <c r="A257" s="109"/>
      <c r="B257" s="118" t="s">
        <v>204</v>
      </c>
      <c r="C257" s="80"/>
      <c r="D257" s="80"/>
      <c r="E257" s="80"/>
      <c r="F257" s="80"/>
      <c r="G257" s="80"/>
      <c r="H257" s="109">
        <v>2</v>
      </c>
      <c r="I257" s="80"/>
      <c r="J257" s="112">
        <f>H257</f>
        <v>2</v>
      </c>
      <c r="K257" s="112" t="s">
        <v>34</v>
      </c>
      <c r="L257" s="110" t="s">
        <v>115</v>
      </c>
      <c r="M257" s="144" t="s">
        <v>368</v>
      </c>
      <c r="N257" s="144"/>
      <c r="O257" s="80"/>
    </row>
    <row r="258" spans="1:15" ht="182.25" customHeight="1" x14ac:dyDescent="0.25">
      <c r="A258" s="109"/>
      <c r="B258" s="118" t="s">
        <v>205</v>
      </c>
      <c r="C258" s="80"/>
      <c r="D258" s="80"/>
      <c r="E258" s="80"/>
      <c r="F258" s="80"/>
      <c r="G258" s="80"/>
      <c r="H258" s="109">
        <v>7</v>
      </c>
      <c r="I258" s="80"/>
      <c r="J258" s="112">
        <f>H258</f>
        <v>7</v>
      </c>
      <c r="K258" s="112" t="s">
        <v>34</v>
      </c>
      <c r="L258" s="110" t="s">
        <v>116</v>
      </c>
      <c r="M258" s="144"/>
      <c r="N258" s="144"/>
      <c r="O258" s="80"/>
    </row>
    <row r="259" spans="1:15" ht="90" x14ac:dyDescent="0.25">
      <c r="A259" s="109"/>
      <c r="B259" s="118" t="s">
        <v>527</v>
      </c>
      <c r="C259" s="80"/>
      <c r="D259" s="80"/>
      <c r="E259" s="80"/>
      <c r="F259" s="80"/>
      <c r="G259" s="80"/>
      <c r="H259" s="109">
        <v>1</v>
      </c>
      <c r="I259" s="80"/>
      <c r="J259" s="112">
        <f>H259</f>
        <v>1</v>
      </c>
      <c r="K259" s="112" t="s">
        <v>34</v>
      </c>
      <c r="L259" s="110"/>
      <c r="M259" s="144"/>
      <c r="N259" s="144"/>
      <c r="O259" s="80"/>
    </row>
    <row r="260" spans="1:15" x14ac:dyDescent="0.25">
      <c r="A260" s="109"/>
      <c r="B260" s="121"/>
      <c r="C260" s="80"/>
      <c r="D260" s="80"/>
      <c r="E260" s="80"/>
      <c r="F260" s="80"/>
      <c r="G260" s="80"/>
      <c r="H260" s="109"/>
      <c r="I260" s="80"/>
      <c r="J260" s="112"/>
      <c r="K260" s="112"/>
      <c r="L260" s="80"/>
      <c r="M260" s="144"/>
      <c r="N260" s="144"/>
      <c r="O260" s="80"/>
    </row>
    <row r="261" spans="1:15" x14ac:dyDescent="0.25">
      <c r="A261" s="144" t="s">
        <v>121</v>
      </c>
      <c r="B261" s="144"/>
      <c r="C261" s="144"/>
      <c r="D261" s="144"/>
      <c r="E261" s="144"/>
      <c r="F261" s="144"/>
      <c r="G261" s="144"/>
      <c r="H261" s="144"/>
      <c r="I261" s="144"/>
      <c r="J261" s="144"/>
      <c r="K261" s="144"/>
      <c r="L261" s="144"/>
      <c r="M261" s="144"/>
      <c r="N261" s="144"/>
      <c r="O261" s="80"/>
    </row>
    <row r="262" spans="1:15" ht="30" x14ac:dyDescent="0.25">
      <c r="A262" s="105" t="s">
        <v>1</v>
      </c>
      <c r="B262" s="105" t="s">
        <v>2</v>
      </c>
      <c r="C262" s="105" t="s">
        <v>3</v>
      </c>
      <c r="D262" s="105" t="s">
        <v>4</v>
      </c>
      <c r="E262" s="105" t="s">
        <v>5</v>
      </c>
      <c r="F262" s="105" t="s">
        <v>6</v>
      </c>
      <c r="G262" s="105" t="s">
        <v>7</v>
      </c>
      <c r="H262" s="105" t="s">
        <v>8</v>
      </c>
      <c r="I262" s="105" t="s">
        <v>9</v>
      </c>
      <c r="J262" s="105" t="s">
        <v>12</v>
      </c>
      <c r="K262" s="105" t="s">
        <v>11</v>
      </c>
      <c r="L262" s="105" t="s">
        <v>10</v>
      </c>
      <c r="M262" s="106" t="s">
        <v>353</v>
      </c>
      <c r="N262" s="105" t="s">
        <v>351</v>
      </c>
      <c r="O262" s="80"/>
    </row>
    <row r="263" spans="1:15" ht="162.75" customHeight="1" x14ac:dyDescent="0.25">
      <c r="A263" s="109"/>
      <c r="B263" s="121" t="s">
        <v>186</v>
      </c>
      <c r="C263" s="80"/>
      <c r="D263" s="80"/>
      <c r="E263" s="80"/>
      <c r="F263" s="80"/>
      <c r="G263" s="80"/>
      <c r="H263" s="80"/>
      <c r="I263" s="80"/>
      <c r="J263" s="112">
        <f>J104*2+J98</f>
        <v>1025.29</v>
      </c>
      <c r="K263" s="112" t="str">
        <f>K104</f>
        <v>M²</v>
      </c>
      <c r="L263" s="128" t="s">
        <v>313</v>
      </c>
      <c r="M263" s="144" t="s">
        <v>392</v>
      </c>
      <c r="N263" s="144"/>
      <c r="O263" s="80"/>
    </row>
    <row r="264" spans="1:15" ht="168.75" customHeight="1" x14ac:dyDescent="0.25">
      <c r="A264" s="109"/>
      <c r="B264" s="121" t="s">
        <v>322</v>
      </c>
      <c r="C264" s="80"/>
      <c r="D264" s="80"/>
      <c r="E264" s="80"/>
      <c r="F264" s="80"/>
      <c r="G264" s="80"/>
      <c r="H264" s="80"/>
      <c r="I264" s="80"/>
      <c r="J264" s="112">
        <f>J263</f>
        <v>1025.29</v>
      </c>
      <c r="K264" s="112" t="str">
        <f>K263</f>
        <v>M²</v>
      </c>
      <c r="L264" s="109" t="s">
        <v>318</v>
      </c>
      <c r="M264" s="144"/>
      <c r="N264" s="144"/>
      <c r="O264" s="80"/>
    </row>
    <row r="265" spans="1:15" x14ac:dyDescent="0.25">
      <c r="A265" s="144" t="s">
        <v>122</v>
      </c>
      <c r="B265" s="144"/>
      <c r="C265" s="144"/>
      <c r="D265" s="144"/>
      <c r="E265" s="144"/>
      <c r="F265" s="144"/>
      <c r="G265" s="144"/>
      <c r="H265" s="144"/>
      <c r="I265" s="144"/>
      <c r="J265" s="144"/>
      <c r="K265" s="144"/>
      <c r="L265" s="144"/>
      <c r="M265" s="144"/>
      <c r="N265" s="144"/>
      <c r="O265" s="80"/>
    </row>
    <row r="266" spans="1:15" ht="30" x14ac:dyDescent="0.25">
      <c r="A266" s="105" t="s">
        <v>1</v>
      </c>
      <c r="B266" s="105" t="s">
        <v>2</v>
      </c>
      <c r="C266" s="105" t="s">
        <v>3</v>
      </c>
      <c r="D266" s="105" t="s">
        <v>4</v>
      </c>
      <c r="E266" s="105" t="s">
        <v>5</v>
      </c>
      <c r="F266" s="105" t="s">
        <v>6</v>
      </c>
      <c r="G266" s="105" t="s">
        <v>7</v>
      </c>
      <c r="H266" s="105" t="s">
        <v>8</v>
      </c>
      <c r="I266" s="105" t="s">
        <v>9</v>
      </c>
      <c r="J266" s="105" t="s">
        <v>12</v>
      </c>
      <c r="K266" s="105" t="s">
        <v>11</v>
      </c>
      <c r="L266" s="105" t="s">
        <v>10</v>
      </c>
      <c r="M266" s="106" t="s">
        <v>353</v>
      </c>
      <c r="N266" s="105" t="s">
        <v>351</v>
      </c>
      <c r="O266" s="80"/>
    </row>
    <row r="267" spans="1:15" ht="161.25" customHeight="1" x14ac:dyDescent="0.25">
      <c r="A267" s="109"/>
      <c r="B267" s="118" t="s">
        <v>539</v>
      </c>
      <c r="C267" s="80"/>
      <c r="D267" s="80"/>
      <c r="E267" s="80"/>
      <c r="F267" s="80"/>
      <c r="G267" s="80"/>
      <c r="H267" s="109"/>
      <c r="I267" s="80"/>
      <c r="J267" s="112">
        <v>123.76</v>
      </c>
      <c r="K267" s="112" t="s">
        <v>15</v>
      </c>
      <c r="L267" s="80"/>
      <c r="M267" s="104"/>
      <c r="N267" s="114"/>
      <c r="O267" s="80"/>
    </row>
    <row r="268" spans="1:15" x14ac:dyDescent="0.25">
      <c r="A268" s="144" t="s">
        <v>123</v>
      </c>
      <c r="B268" s="144"/>
      <c r="C268" s="144"/>
      <c r="D268" s="144"/>
      <c r="E268" s="144"/>
      <c r="F268" s="144"/>
      <c r="G268" s="144"/>
      <c r="H268" s="144"/>
      <c r="I268" s="144"/>
      <c r="J268" s="144"/>
      <c r="K268" s="144"/>
      <c r="L268" s="144"/>
      <c r="M268" s="144"/>
      <c r="N268" s="144"/>
      <c r="O268" s="80"/>
    </row>
    <row r="269" spans="1:15" ht="30" x14ac:dyDescent="0.25">
      <c r="A269" s="105" t="s">
        <v>1</v>
      </c>
      <c r="B269" s="105" t="s">
        <v>2</v>
      </c>
      <c r="C269" s="105" t="s">
        <v>3</v>
      </c>
      <c r="D269" s="105" t="s">
        <v>4</v>
      </c>
      <c r="E269" s="105" t="s">
        <v>5</v>
      </c>
      <c r="F269" s="105" t="s">
        <v>6</v>
      </c>
      <c r="G269" s="105" t="s">
        <v>7</v>
      </c>
      <c r="H269" s="105" t="s">
        <v>8</v>
      </c>
      <c r="I269" s="105" t="s">
        <v>9</v>
      </c>
      <c r="J269" s="105" t="s">
        <v>12</v>
      </c>
      <c r="K269" s="105" t="s">
        <v>11</v>
      </c>
      <c r="L269" s="105" t="s">
        <v>10</v>
      </c>
      <c r="M269" s="106" t="s">
        <v>353</v>
      </c>
      <c r="N269" s="105" t="s">
        <v>351</v>
      </c>
      <c r="O269" s="80"/>
    </row>
    <row r="270" spans="1:15" ht="165" x14ac:dyDescent="0.25">
      <c r="A270" s="109"/>
      <c r="B270" s="118" t="s">
        <v>124</v>
      </c>
      <c r="C270" s="80"/>
      <c r="D270" s="80"/>
      <c r="E270" s="80"/>
      <c r="F270" s="80"/>
      <c r="G270" s="80"/>
      <c r="H270" s="80"/>
      <c r="I270" s="80"/>
      <c r="J270" s="133">
        <f>I271+I272+I273</f>
        <v>300.19</v>
      </c>
      <c r="K270" s="133" t="str">
        <f>K10</f>
        <v>M²</v>
      </c>
      <c r="L270" s="80"/>
      <c r="M270" s="114"/>
      <c r="N270" s="114" t="s">
        <v>357</v>
      </c>
      <c r="O270" s="80"/>
    </row>
    <row r="271" spans="1:15" x14ac:dyDescent="0.25">
      <c r="A271" s="80"/>
      <c r="B271" s="80"/>
      <c r="C271" s="119" t="s">
        <v>25</v>
      </c>
      <c r="D271" s="80"/>
      <c r="E271" s="80"/>
      <c r="F271" s="80"/>
      <c r="G271" s="80"/>
      <c r="H271" s="80"/>
      <c r="I271" s="80">
        <f>J10</f>
        <v>300.19</v>
      </c>
      <c r="J271" s="80"/>
      <c r="K271" s="80"/>
      <c r="L271" s="80"/>
      <c r="M271" s="80"/>
      <c r="N271" s="80"/>
      <c r="O271" s="80"/>
    </row>
    <row r="272" spans="1:15" x14ac:dyDescent="0.25">
      <c r="C272" s="4"/>
    </row>
    <row r="273" spans="3:3" x14ac:dyDescent="0.25">
      <c r="C273" s="4"/>
    </row>
  </sheetData>
  <mergeCells count="36">
    <mergeCell ref="A268:N268"/>
    <mergeCell ref="A265:N265"/>
    <mergeCell ref="N7:N8"/>
    <mergeCell ref="M7:M8"/>
    <mergeCell ref="A2:B2"/>
    <mergeCell ref="A4:B4"/>
    <mergeCell ref="A3:B3"/>
    <mergeCell ref="A5:L5"/>
    <mergeCell ref="M251:M252"/>
    <mergeCell ref="N251:N252"/>
    <mergeCell ref="A20:N20"/>
    <mergeCell ref="A91:N91"/>
    <mergeCell ref="A96:N96"/>
    <mergeCell ref="A102:N102"/>
    <mergeCell ref="A218:N218"/>
    <mergeCell ref="N221:N223"/>
    <mergeCell ref="M229:M233"/>
    <mergeCell ref="N229:N233"/>
    <mergeCell ref="M263:M264"/>
    <mergeCell ref="N263:N264"/>
    <mergeCell ref="A255:N255"/>
    <mergeCell ref="M257:M260"/>
    <mergeCell ref="N257:N260"/>
    <mergeCell ref="A261:N261"/>
    <mergeCell ref="A249:N249"/>
    <mergeCell ref="A234:N234"/>
    <mergeCell ref="A241:N241"/>
    <mergeCell ref="M243:M248"/>
    <mergeCell ref="N243:N248"/>
    <mergeCell ref="M221:M223"/>
    <mergeCell ref="A225:N225"/>
    <mergeCell ref="M227:M228"/>
    <mergeCell ref="N227:N228"/>
    <mergeCell ref="A1:N1"/>
    <mergeCell ref="M18:M19"/>
    <mergeCell ref="N18:N19"/>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I21"/>
  <sheetViews>
    <sheetView workbookViewId="0">
      <selection activeCell="O14" sqref="O14"/>
    </sheetView>
  </sheetViews>
  <sheetFormatPr baseColWidth="10" defaultRowHeight="15" x14ac:dyDescent="0.25"/>
  <cols>
    <col min="1" max="1" width="7" customWidth="1"/>
    <col min="2" max="2" width="3.42578125" customWidth="1"/>
    <col min="3" max="3" width="3.28515625" customWidth="1"/>
    <col min="5" max="5" width="3.140625" customWidth="1"/>
    <col min="6" max="6" width="2.85546875" customWidth="1"/>
    <col min="7" max="7" width="2.7109375" customWidth="1"/>
    <col min="9" max="11" width="3" customWidth="1"/>
    <col min="13" max="13" width="2.7109375" customWidth="1"/>
    <col min="14" max="14" width="3.28515625" customWidth="1"/>
    <col min="15" max="15" width="3" customWidth="1"/>
    <col min="17" max="17" width="3.28515625" customWidth="1"/>
    <col min="18" max="18" width="3.85546875" customWidth="1"/>
    <col min="19" max="19" width="4.85546875" customWidth="1"/>
    <col min="21" max="21" width="2.85546875" customWidth="1"/>
    <col min="22" max="22" width="4.42578125" customWidth="1"/>
    <col min="23" max="23" width="4.85546875" customWidth="1"/>
    <col min="25" max="25" width="3.140625" customWidth="1"/>
    <col min="26" max="26" width="4.42578125" customWidth="1"/>
    <col min="27" max="27" width="5" customWidth="1"/>
    <col min="29" max="29" width="3.140625" customWidth="1"/>
    <col min="30" max="30" width="4.7109375" customWidth="1"/>
    <col min="31" max="31" width="4.28515625" customWidth="1"/>
    <col min="33" max="33" width="5.5703125" customWidth="1"/>
    <col min="34" max="34" width="4.140625" customWidth="1"/>
    <col min="35" max="35" width="4.7109375" customWidth="1"/>
  </cols>
  <sheetData>
    <row r="1" spans="1:35" x14ac:dyDescent="0.25">
      <c r="F1">
        <v>4</v>
      </c>
      <c r="N1">
        <v>15</v>
      </c>
      <c r="R1">
        <v>6</v>
      </c>
      <c r="V1">
        <v>2</v>
      </c>
      <c r="Z1">
        <v>3</v>
      </c>
    </row>
    <row r="2" spans="1:35" x14ac:dyDescent="0.25">
      <c r="E2" s="82" t="s">
        <v>18</v>
      </c>
      <c r="F2" s="80">
        <f>G8</f>
        <v>21</v>
      </c>
      <c r="G2" s="80">
        <f>F2+F1</f>
        <v>25</v>
      </c>
      <c r="H2" t="s">
        <v>421</v>
      </c>
      <c r="M2" s="82" t="s">
        <v>19</v>
      </c>
      <c r="N2" s="80">
        <f>K8</f>
        <v>59</v>
      </c>
      <c r="O2" s="80">
        <f>N2+N1</f>
        <v>74</v>
      </c>
      <c r="P2" t="s">
        <v>421</v>
      </c>
      <c r="Q2" s="82" t="s">
        <v>397</v>
      </c>
      <c r="R2" s="80">
        <f>O8</f>
        <v>99</v>
      </c>
      <c r="S2" s="80">
        <f>R2+R1</f>
        <v>105</v>
      </c>
      <c r="T2" t="s">
        <v>421</v>
      </c>
      <c r="U2" s="82" t="s">
        <v>399</v>
      </c>
      <c r="V2" s="80">
        <f>S8</f>
        <v>111</v>
      </c>
      <c r="W2" s="80">
        <f>V2+V1</f>
        <v>113</v>
      </c>
      <c r="X2" t="s">
        <v>421</v>
      </c>
      <c r="Y2" s="82" t="s">
        <v>401</v>
      </c>
      <c r="Z2" s="80">
        <f>W8</f>
        <v>118</v>
      </c>
      <c r="AA2" s="80">
        <f>Z2+Z1</f>
        <v>121</v>
      </c>
      <c r="AB2" t="s">
        <v>421</v>
      </c>
    </row>
    <row r="3" spans="1:35" x14ac:dyDescent="0.25">
      <c r="F3" s="80">
        <f>G3-F1</f>
        <v>17</v>
      </c>
      <c r="G3" s="80">
        <f>J9</f>
        <v>21</v>
      </c>
      <c r="H3">
        <f>G2-G3</f>
        <v>4</v>
      </c>
      <c r="N3" s="80">
        <f>O3-N1</f>
        <v>84</v>
      </c>
      <c r="O3" s="80">
        <f>R9</f>
        <v>99</v>
      </c>
      <c r="P3">
        <f>O3-O2</f>
        <v>25</v>
      </c>
      <c r="R3" s="80">
        <f>S3-R1</f>
        <v>105</v>
      </c>
      <c r="S3" s="80">
        <f>V9</f>
        <v>111</v>
      </c>
      <c r="T3">
        <f>S3-S2</f>
        <v>6</v>
      </c>
      <c r="V3" s="80">
        <f>W3-V1</f>
        <v>115</v>
      </c>
      <c r="W3" s="80">
        <f>Z3</f>
        <v>117</v>
      </c>
      <c r="X3">
        <f>W3-W2</f>
        <v>4</v>
      </c>
      <c r="Z3" s="80">
        <f>AA3-Z1</f>
        <v>117</v>
      </c>
      <c r="AA3" s="80">
        <f>AD9</f>
        <v>120</v>
      </c>
      <c r="AB3">
        <f>AA3-AA2</f>
        <v>-1</v>
      </c>
    </row>
    <row r="7" spans="1:35" x14ac:dyDescent="0.25">
      <c r="B7">
        <v>0</v>
      </c>
      <c r="D7" t="s">
        <v>421</v>
      </c>
      <c r="F7">
        <v>21</v>
      </c>
      <c r="H7" t="s">
        <v>421</v>
      </c>
      <c r="J7">
        <v>38</v>
      </c>
      <c r="L7" t="s">
        <v>421</v>
      </c>
      <c r="N7">
        <v>40</v>
      </c>
      <c r="P7" t="s">
        <v>421</v>
      </c>
      <c r="R7">
        <v>12</v>
      </c>
      <c r="T7" t="s">
        <v>421</v>
      </c>
      <c r="V7">
        <v>7</v>
      </c>
      <c r="X7" t="s">
        <v>421</v>
      </c>
      <c r="Z7">
        <v>2</v>
      </c>
      <c r="AB7" t="s">
        <v>421</v>
      </c>
      <c r="AD7">
        <v>1</v>
      </c>
      <c r="AF7" t="s">
        <v>421</v>
      </c>
      <c r="AH7">
        <v>0</v>
      </c>
    </row>
    <row r="8" spans="1:35" x14ac:dyDescent="0.25">
      <c r="A8" s="82" t="s">
        <v>404</v>
      </c>
      <c r="B8" s="80">
        <f>B7</f>
        <v>0</v>
      </c>
      <c r="C8" s="80">
        <v>0</v>
      </c>
      <c r="D8">
        <f>C8-C9</f>
        <v>0</v>
      </c>
      <c r="E8" s="82" t="s">
        <v>16</v>
      </c>
      <c r="F8" s="80">
        <f>C8</f>
        <v>0</v>
      </c>
      <c r="G8" s="80">
        <f>F8+F7</f>
        <v>21</v>
      </c>
      <c r="H8">
        <f>G8-G9</f>
        <v>0</v>
      </c>
      <c r="I8" s="82" t="s">
        <v>17</v>
      </c>
      <c r="J8" s="80">
        <f>G8</f>
        <v>21</v>
      </c>
      <c r="K8" s="80">
        <f>J8+J7</f>
        <v>59</v>
      </c>
      <c r="L8">
        <f>K8-K9</f>
        <v>0</v>
      </c>
      <c r="M8" s="82" t="s">
        <v>29</v>
      </c>
      <c r="N8" s="80">
        <f>K8</f>
        <v>59</v>
      </c>
      <c r="O8" s="80">
        <f>N8+N7</f>
        <v>99</v>
      </c>
      <c r="P8">
        <f>O8-O9</f>
        <v>0</v>
      </c>
      <c r="Q8" s="82" t="s">
        <v>396</v>
      </c>
      <c r="R8" s="80">
        <f>O8</f>
        <v>99</v>
      </c>
      <c r="S8" s="80">
        <f>R8+R7</f>
        <v>111</v>
      </c>
      <c r="T8">
        <f>S8-S9</f>
        <v>0</v>
      </c>
      <c r="U8" s="82" t="s">
        <v>304</v>
      </c>
      <c r="V8" s="80">
        <f>S8</f>
        <v>111</v>
      </c>
      <c r="W8" s="80">
        <f>V8+V7</f>
        <v>118</v>
      </c>
      <c r="X8">
        <f>W8-W9</f>
        <v>0</v>
      </c>
      <c r="Y8" s="82" t="s">
        <v>400</v>
      </c>
      <c r="Z8" s="80">
        <f>W8</f>
        <v>118</v>
      </c>
      <c r="AA8" s="80">
        <f>Z8+Z7</f>
        <v>120</v>
      </c>
      <c r="AB8">
        <f>AA8-AA9</f>
        <v>0</v>
      </c>
      <c r="AC8" s="82" t="s">
        <v>402</v>
      </c>
      <c r="AD8" s="80">
        <f>AA8</f>
        <v>120</v>
      </c>
      <c r="AE8" s="80">
        <f>AD8+AD7</f>
        <v>121</v>
      </c>
      <c r="AF8">
        <f>AE8-AE9</f>
        <v>0</v>
      </c>
      <c r="AG8" s="82" t="s">
        <v>403</v>
      </c>
      <c r="AH8" s="80">
        <f>AE8</f>
        <v>121</v>
      </c>
      <c r="AI8" s="80">
        <f>AH8+AH7</f>
        <v>121</v>
      </c>
    </row>
    <row r="9" spans="1:35" x14ac:dyDescent="0.25">
      <c r="B9" s="80">
        <f>C9-B7</f>
        <v>0</v>
      </c>
      <c r="C9" s="80">
        <f>F9</f>
        <v>0</v>
      </c>
      <c r="F9" s="80">
        <f>G9-F7</f>
        <v>0</v>
      </c>
      <c r="G9" s="80">
        <f>J9</f>
        <v>21</v>
      </c>
      <c r="J9" s="80">
        <f>K9-J7</f>
        <v>21</v>
      </c>
      <c r="K9" s="80">
        <f>N9</f>
        <v>59</v>
      </c>
      <c r="N9" s="80">
        <f>O9-N7</f>
        <v>59</v>
      </c>
      <c r="O9" s="80">
        <f>R9</f>
        <v>99</v>
      </c>
      <c r="R9" s="80">
        <f>S9-R7</f>
        <v>99</v>
      </c>
      <c r="S9" s="80">
        <f>V9</f>
        <v>111</v>
      </c>
      <c r="V9" s="80">
        <f>W9-V7</f>
        <v>111</v>
      </c>
      <c r="W9" s="80">
        <f>Z9</f>
        <v>118</v>
      </c>
      <c r="Z9" s="80">
        <f>AA9-Z7</f>
        <v>118</v>
      </c>
      <c r="AA9" s="80">
        <f>AD9</f>
        <v>120</v>
      </c>
      <c r="AD9" s="80">
        <f>AE9-AD7</f>
        <v>120</v>
      </c>
      <c r="AE9" s="80">
        <f>AH9</f>
        <v>121</v>
      </c>
      <c r="AH9" s="80">
        <f>AI9-AH7</f>
        <v>121</v>
      </c>
      <c r="AI9" s="80">
        <f>AI8</f>
        <v>121</v>
      </c>
    </row>
    <row r="12" spans="1:35" x14ac:dyDescent="0.25">
      <c r="R12">
        <v>1</v>
      </c>
      <c r="Z12">
        <v>1</v>
      </c>
    </row>
    <row r="13" spans="1:35" x14ac:dyDescent="0.25">
      <c r="Q13" s="82" t="s">
        <v>398</v>
      </c>
      <c r="R13" s="80">
        <f>O8</f>
        <v>99</v>
      </c>
      <c r="S13" s="80">
        <f>R13+R12</f>
        <v>100</v>
      </c>
      <c r="T13" t="s">
        <v>421</v>
      </c>
      <c r="Y13" s="82" t="s">
        <v>374</v>
      </c>
      <c r="Z13" s="80">
        <f>W8</f>
        <v>118</v>
      </c>
      <c r="AA13" s="80">
        <f>Z13+Z12</f>
        <v>119</v>
      </c>
      <c r="AB13" t="s">
        <v>421</v>
      </c>
    </row>
    <row r="14" spans="1:35" x14ac:dyDescent="0.25">
      <c r="R14" s="80">
        <f>S14-R12</f>
        <v>110</v>
      </c>
      <c r="S14" s="80">
        <f>V9</f>
        <v>111</v>
      </c>
      <c r="T14">
        <f>S14-S13</f>
        <v>11</v>
      </c>
      <c r="Z14" s="80">
        <f>AA14-Z12</f>
        <v>119</v>
      </c>
      <c r="AA14" s="80">
        <f>AD9</f>
        <v>120</v>
      </c>
      <c r="AB14">
        <f>AA14-AA13</f>
        <v>1</v>
      </c>
    </row>
    <row r="17" spans="3:28" x14ac:dyDescent="0.25">
      <c r="C17" s="82" t="s">
        <v>16</v>
      </c>
      <c r="D17" t="s">
        <v>405</v>
      </c>
      <c r="H17">
        <v>20</v>
      </c>
      <c r="I17" s="82" t="s">
        <v>396</v>
      </c>
      <c r="J17" t="s">
        <v>409</v>
      </c>
      <c r="P17">
        <v>10</v>
      </c>
      <c r="Q17" s="82" t="s">
        <v>400</v>
      </c>
      <c r="R17" t="s">
        <v>414</v>
      </c>
      <c r="X17">
        <v>2</v>
      </c>
      <c r="AB17" s="81" t="s">
        <v>418</v>
      </c>
    </row>
    <row r="18" spans="3:28" x14ac:dyDescent="0.25">
      <c r="C18" s="82" t="s">
        <v>17</v>
      </c>
      <c r="D18" t="s">
        <v>406</v>
      </c>
      <c r="H18">
        <v>34</v>
      </c>
      <c r="I18" s="82" t="s">
        <v>304</v>
      </c>
      <c r="J18" t="s">
        <v>410</v>
      </c>
      <c r="P18">
        <v>6</v>
      </c>
      <c r="Q18" s="82" t="s">
        <v>401</v>
      </c>
      <c r="R18" t="s">
        <v>415</v>
      </c>
      <c r="X18">
        <v>3</v>
      </c>
      <c r="AB18" s="81" t="s">
        <v>419</v>
      </c>
    </row>
    <row r="19" spans="3:28" x14ac:dyDescent="0.25">
      <c r="C19" s="82" t="s">
        <v>18</v>
      </c>
      <c r="D19" t="s">
        <v>407</v>
      </c>
      <c r="H19">
        <v>4</v>
      </c>
      <c r="I19" s="82" t="s">
        <v>399</v>
      </c>
      <c r="J19" t="s">
        <v>411</v>
      </c>
      <c r="P19">
        <v>2</v>
      </c>
      <c r="Q19" s="82" t="s">
        <v>374</v>
      </c>
      <c r="R19" t="s">
        <v>416</v>
      </c>
      <c r="X19">
        <v>1</v>
      </c>
    </row>
    <row r="20" spans="3:28" x14ac:dyDescent="0.25">
      <c r="C20" s="82" t="s">
        <v>19</v>
      </c>
      <c r="D20" t="s">
        <v>408</v>
      </c>
      <c r="H20">
        <v>15</v>
      </c>
      <c r="I20" s="82" t="s">
        <v>398</v>
      </c>
      <c r="J20" t="s">
        <v>413</v>
      </c>
      <c r="P20">
        <v>1</v>
      </c>
      <c r="Q20" s="82" t="s">
        <v>402</v>
      </c>
      <c r="R20" t="s">
        <v>417</v>
      </c>
      <c r="X20">
        <v>1</v>
      </c>
    </row>
    <row r="21" spans="3:28" ht="27.75" customHeight="1" x14ac:dyDescent="0.25">
      <c r="C21" s="82" t="s">
        <v>29</v>
      </c>
      <c r="D21" s="148" t="s">
        <v>427</v>
      </c>
      <c r="E21" s="148"/>
      <c r="F21" s="148"/>
      <c r="G21" s="148"/>
      <c r="H21">
        <v>35</v>
      </c>
      <c r="I21" s="82" t="s">
        <v>397</v>
      </c>
      <c r="J21" t="s">
        <v>412</v>
      </c>
      <c r="P21">
        <v>5</v>
      </c>
    </row>
  </sheetData>
  <mergeCells count="1">
    <mergeCell ref="D21:G2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BK30"/>
  <sheetViews>
    <sheetView topLeftCell="A21" workbookViewId="0">
      <selection activeCell="T3" sqref="T3"/>
    </sheetView>
  </sheetViews>
  <sheetFormatPr baseColWidth="10" defaultRowHeight="15" x14ac:dyDescent="0.25"/>
  <cols>
    <col min="1" max="1" width="7" customWidth="1"/>
    <col min="2" max="2" width="3.42578125" customWidth="1"/>
    <col min="3" max="3" width="3.28515625" customWidth="1"/>
    <col min="5" max="5" width="3.140625" customWidth="1"/>
    <col min="6" max="7" width="4.28515625" customWidth="1"/>
    <col min="8" max="8" width="9.7109375" customWidth="1"/>
    <col min="9" max="9" width="2.7109375" customWidth="1"/>
    <col min="10" max="10" width="3.42578125" customWidth="1"/>
    <col min="11" max="11" width="3.85546875" customWidth="1"/>
    <col min="12" max="12" width="9.7109375" customWidth="1"/>
    <col min="13" max="13" width="3" customWidth="1"/>
    <col min="14" max="14" width="4.42578125" customWidth="1"/>
    <col min="15" max="15" width="5" customWidth="1"/>
    <col min="16" max="16" width="10.7109375" customWidth="1"/>
    <col min="17" max="18" width="3" customWidth="1"/>
    <col min="19" max="19" width="4.42578125" customWidth="1"/>
    <col min="20" max="20" width="10.28515625" customWidth="1"/>
    <col min="21" max="21" width="2.7109375" customWidth="1"/>
    <col min="22" max="22" width="4" customWidth="1"/>
    <col min="23" max="23" width="4.42578125" customWidth="1"/>
    <col min="24" max="24" width="9.7109375" customWidth="1"/>
    <col min="25" max="25" width="3.28515625" customWidth="1"/>
    <col min="26" max="26" width="4.7109375" customWidth="1"/>
    <col min="27" max="27" width="4.85546875" customWidth="1"/>
    <col min="28" max="28" width="10.28515625" customWidth="1"/>
    <col min="29" max="31" width="4.85546875" customWidth="1"/>
    <col min="32" max="32" width="9.28515625" customWidth="1"/>
    <col min="33" max="35" width="4.85546875" customWidth="1"/>
    <col min="37" max="37" width="2.85546875" customWidth="1"/>
    <col min="38" max="38" width="4.42578125" customWidth="1"/>
    <col min="39" max="39" width="4.85546875" customWidth="1"/>
    <col min="40" max="40" width="9.28515625" customWidth="1"/>
    <col min="41" max="43" width="4.85546875" customWidth="1"/>
    <col min="44" max="44" width="10.140625" customWidth="1"/>
    <col min="45" max="45" width="3.140625" customWidth="1"/>
    <col min="46" max="46" width="4.42578125" customWidth="1"/>
    <col min="47" max="47" width="5" customWidth="1"/>
    <col min="48" max="48" width="9.28515625" customWidth="1"/>
    <col min="49" max="51" width="5" customWidth="1"/>
    <col min="52" max="52" width="8.140625" customWidth="1"/>
    <col min="53" max="55" width="5" customWidth="1"/>
    <col min="56" max="56" width="9.7109375" customWidth="1"/>
    <col min="57" max="57" width="3.140625" customWidth="1"/>
    <col min="58" max="58" width="4.7109375" customWidth="1"/>
    <col min="59" max="59" width="4.28515625" customWidth="1"/>
    <col min="60" max="60" width="10.140625" customWidth="1"/>
    <col min="61" max="61" width="5.5703125" customWidth="1"/>
    <col min="62" max="62" width="4.140625" customWidth="1"/>
    <col min="63" max="63" width="4.7109375" customWidth="1"/>
  </cols>
  <sheetData>
    <row r="2" spans="1:63" x14ac:dyDescent="0.25">
      <c r="H2" s="86"/>
      <c r="I2" s="86"/>
      <c r="J2" s="86"/>
      <c r="K2" s="86"/>
      <c r="AB2" s="86"/>
      <c r="AC2" s="86"/>
      <c r="AD2" s="86"/>
      <c r="AE2" s="86"/>
      <c r="AF2" s="86"/>
      <c r="AG2" s="86"/>
      <c r="AH2" s="86"/>
      <c r="AI2" s="86"/>
      <c r="AN2" s="86"/>
      <c r="AO2" s="86"/>
      <c r="AP2" s="86"/>
      <c r="AQ2" s="86"/>
      <c r="AV2" s="86"/>
      <c r="AW2" s="86"/>
      <c r="AX2" s="86"/>
      <c r="AY2" s="86"/>
      <c r="AZ2" s="86"/>
      <c r="BA2" s="86"/>
      <c r="BB2" s="86"/>
      <c r="BC2" s="86"/>
    </row>
    <row r="3" spans="1:63" x14ac:dyDescent="0.25">
      <c r="H3" s="86"/>
      <c r="I3" s="86"/>
      <c r="J3" s="86"/>
      <c r="K3" s="86"/>
      <c r="AB3" s="86"/>
      <c r="AC3" s="86"/>
      <c r="AD3" s="86"/>
      <c r="AE3" s="86"/>
      <c r="AF3" s="86"/>
      <c r="AG3" s="86"/>
      <c r="AH3" s="86"/>
      <c r="AI3" s="86"/>
      <c r="AN3" s="86"/>
      <c r="AO3" s="86"/>
      <c r="AP3" s="86"/>
      <c r="AQ3" s="86"/>
      <c r="AV3" s="86"/>
      <c r="AW3" s="86"/>
      <c r="AX3" s="86"/>
      <c r="AY3" s="86"/>
      <c r="AZ3" s="86"/>
      <c r="BA3" s="86"/>
      <c r="BB3" s="86"/>
      <c r="BC3" s="86"/>
    </row>
    <row r="7" spans="1:63" x14ac:dyDescent="0.25">
      <c r="B7">
        <v>0</v>
      </c>
      <c r="D7" t="s">
        <v>421</v>
      </c>
      <c r="F7">
        <v>20</v>
      </c>
      <c r="J7">
        <v>4</v>
      </c>
      <c r="N7">
        <v>34</v>
      </c>
      <c r="R7">
        <v>15</v>
      </c>
      <c r="V7">
        <v>35</v>
      </c>
      <c r="Z7">
        <v>10</v>
      </c>
      <c r="AD7">
        <v>5</v>
      </c>
      <c r="AH7">
        <v>1</v>
      </c>
      <c r="AL7">
        <v>6</v>
      </c>
      <c r="AP7">
        <v>2</v>
      </c>
      <c r="AT7">
        <v>2</v>
      </c>
      <c r="AX7">
        <v>3</v>
      </c>
      <c r="BB7">
        <v>1</v>
      </c>
      <c r="BF7">
        <v>1</v>
      </c>
      <c r="BJ7">
        <v>0</v>
      </c>
    </row>
    <row r="8" spans="1:63" x14ac:dyDescent="0.25">
      <c r="A8" s="82" t="s">
        <v>404</v>
      </c>
      <c r="B8" s="80">
        <f>B7</f>
        <v>0</v>
      </c>
      <c r="C8" s="80">
        <v>0</v>
      </c>
      <c r="D8">
        <f>C8-C9</f>
        <v>0</v>
      </c>
      <c r="E8" s="82" t="s">
        <v>16</v>
      </c>
      <c r="F8" s="80">
        <f>C8</f>
        <v>0</v>
      </c>
      <c r="G8" s="80">
        <f>F8+F7</f>
        <v>20</v>
      </c>
      <c r="H8" s="86"/>
      <c r="I8" s="82" t="s">
        <v>18</v>
      </c>
      <c r="J8" s="80">
        <f>G8</f>
        <v>20</v>
      </c>
      <c r="K8" s="80">
        <f>J8+J7</f>
        <v>24</v>
      </c>
      <c r="M8" s="82" t="s">
        <v>17</v>
      </c>
      <c r="N8" s="80">
        <f>K8</f>
        <v>24</v>
      </c>
      <c r="O8" s="80">
        <f>N8+N7</f>
        <v>58</v>
      </c>
      <c r="P8" s="86"/>
      <c r="Q8" s="82" t="s">
        <v>19</v>
      </c>
      <c r="R8" s="80">
        <f>O8</f>
        <v>58</v>
      </c>
      <c r="S8" s="80">
        <f>R8+R7</f>
        <v>73</v>
      </c>
      <c r="U8" s="82" t="s">
        <v>29</v>
      </c>
      <c r="V8" s="80">
        <f>S8</f>
        <v>73</v>
      </c>
      <c r="W8" s="80">
        <f>V8+V7</f>
        <v>108</v>
      </c>
      <c r="Y8" s="82" t="s">
        <v>396</v>
      </c>
      <c r="Z8" s="80">
        <f>W8</f>
        <v>108</v>
      </c>
      <c r="AA8" s="80">
        <f>Z8+Z7</f>
        <v>118</v>
      </c>
      <c r="AB8" s="86"/>
      <c r="AC8" s="82" t="s">
        <v>397</v>
      </c>
      <c r="AD8" s="80">
        <f>AA8</f>
        <v>118</v>
      </c>
      <c r="AE8" s="80">
        <f>AD8+AD7</f>
        <v>123</v>
      </c>
      <c r="AF8" s="86"/>
      <c r="AG8" s="82" t="s">
        <v>398</v>
      </c>
      <c r="AH8" s="80">
        <f>AE8</f>
        <v>123</v>
      </c>
      <c r="AI8" s="80">
        <f>AH8+AH7</f>
        <v>124</v>
      </c>
      <c r="AK8" s="82" t="s">
        <v>304</v>
      </c>
      <c r="AL8" s="80">
        <f>AI8</f>
        <v>124</v>
      </c>
      <c r="AM8" s="80">
        <f>AL7+AL8</f>
        <v>130</v>
      </c>
      <c r="AN8" s="86"/>
      <c r="AO8" s="82" t="s">
        <v>399</v>
      </c>
      <c r="AP8" s="80">
        <f>AM8</f>
        <v>130</v>
      </c>
      <c r="AQ8" s="80">
        <f>AP8+AP7</f>
        <v>132</v>
      </c>
      <c r="AS8" s="82" t="s">
        <v>400</v>
      </c>
      <c r="AT8" s="80">
        <f>AQ8</f>
        <v>132</v>
      </c>
      <c r="AU8" s="80">
        <f>AT8+AT7</f>
        <v>134</v>
      </c>
      <c r="AV8" s="86"/>
      <c r="AW8" s="82" t="s">
        <v>401</v>
      </c>
      <c r="AX8" s="80">
        <f>AU8</f>
        <v>134</v>
      </c>
      <c r="AY8" s="80">
        <f>AX8+AX7</f>
        <v>137</v>
      </c>
      <c r="AZ8" s="86"/>
      <c r="BA8" s="82" t="s">
        <v>374</v>
      </c>
      <c r="BB8" s="80">
        <f>AY8</f>
        <v>137</v>
      </c>
      <c r="BC8" s="80">
        <f>BB8+BB7</f>
        <v>138</v>
      </c>
      <c r="BE8" s="82" t="s">
        <v>402</v>
      </c>
      <c r="BF8" s="80">
        <f>BC8</f>
        <v>138</v>
      </c>
      <c r="BG8" s="80">
        <f>BF8+BF7</f>
        <v>139</v>
      </c>
      <c r="BI8" s="82" t="s">
        <v>403</v>
      </c>
      <c r="BJ8" s="80">
        <f>BG8</f>
        <v>139</v>
      </c>
      <c r="BK8" s="80">
        <f>BJ8+BJ7</f>
        <v>139</v>
      </c>
    </row>
    <row r="9" spans="1:63" x14ac:dyDescent="0.25">
      <c r="B9" s="80">
        <f>C9-B7</f>
        <v>0</v>
      </c>
      <c r="C9" s="80">
        <f>F9</f>
        <v>0</v>
      </c>
      <c r="F9" s="80">
        <f>G9-F7</f>
        <v>0</v>
      </c>
      <c r="G9" s="80">
        <f>J9</f>
        <v>20</v>
      </c>
      <c r="H9" s="86"/>
      <c r="J9" s="80">
        <f>K9-J7</f>
        <v>20</v>
      </c>
      <c r="K9" s="80">
        <f>N9</f>
        <v>24</v>
      </c>
      <c r="N9" s="80">
        <f>O9-N7</f>
        <v>24</v>
      </c>
      <c r="O9" s="80">
        <f>R9</f>
        <v>58</v>
      </c>
      <c r="P9" s="86"/>
      <c r="R9" s="80">
        <f>S9-R7</f>
        <v>58</v>
      </c>
      <c r="S9" s="80">
        <f>V9</f>
        <v>73</v>
      </c>
      <c r="V9" s="80">
        <f>W9-V7</f>
        <v>73</v>
      </c>
      <c r="W9" s="80">
        <f>Z9</f>
        <v>108</v>
      </c>
      <c r="Z9" s="80">
        <f>AA9-Z7</f>
        <v>108</v>
      </c>
      <c r="AA9" s="80">
        <f>AD9</f>
        <v>118</v>
      </c>
      <c r="AB9" s="86"/>
      <c r="AD9" s="80">
        <f>AE9-AD7</f>
        <v>118</v>
      </c>
      <c r="AE9" s="80">
        <f>AH9</f>
        <v>123</v>
      </c>
      <c r="AF9" s="86"/>
      <c r="AH9" s="80">
        <f>AI9-AH7</f>
        <v>123</v>
      </c>
      <c r="AI9" s="80">
        <f>AL9</f>
        <v>124</v>
      </c>
      <c r="AL9" s="80">
        <f>AM9-AL7</f>
        <v>124</v>
      </c>
      <c r="AM9" s="80">
        <f>AP9</f>
        <v>130</v>
      </c>
      <c r="AN9" s="86"/>
      <c r="AP9" s="80">
        <f>AQ9-AP7</f>
        <v>130</v>
      </c>
      <c r="AQ9" s="80">
        <f>AT9</f>
        <v>132</v>
      </c>
      <c r="AT9" s="80">
        <f>AU9-AT7</f>
        <v>132</v>
      </c>
      <c r="AU9" s="80">
        <f>AX9</f>
        <v>134</v>
      </c>
      <c r="AV9" s="86"/>
      <c r="AX9" s="80">
        <f>AY9-AX7</f>
        <v>134</v>
      </c>
      <c r="AY9" s="80">
        <f>BB9</f>
        <v>137</v>
      </c>
      <c r="AZ9" s="86"/>
      <c r="BB9" s="80">
        <f>BC9-BB7</f>
        <v>137</v>
      </c>
      <c r="BC9" s="80">
        <f>BF9</f>
        <v>138</v>
      </c>
      <c r="BF9" s="80">
        <f>BG9-BF7</f>
        <v>138</v>
      </c>
      <c r="BG9" s="80">
        <f>BJ9</f>
        <v>139</v>
      </c>
      <c r="BJ9" s="80">
        <f>BK9-BJ7</f>
        <v>139</v>
      </c>
      <c r="BK9" s="80">
        <f>BK8</f>
        <v>139</v>
      </c>
    </row>
    <row r="10" spans="1:63" x14ac:dyDescent="0.25">
      <c r="F10" t="s">
        <v>421</v>
      </c>
      <c r="J10" t="s">
        <v>421</v>
      </c>
      <c r="N10" t="s">
        <v>421</v>
      </c>
      <c r="R10" t="s">
        <v>421</v>
      </c>
      <c r="V10" t="s">
        <v>421</v>
      </c>
      <c r="Z10" t="s">
        <v>421</v>
      </c>
      <c r="AD10" t="s">
        <v>421</v>
      </c>
      <c r="AH10" t="s">
        <v>421</v>
      </c>
      <c r="AL10" t="s">
        <v>421</v>
      </c>
      <c r="AP10" t="s">
        <v>421</v>
      </c>
      <c r="AT10" t="s">
        <v>421</v>
      </c>
      <c r="AX10" t="s">
        <v>421</v>
      </c>
      <c r="BB10" t="s">
        <v>421</v>
      </c>
      <c r="BF10" t="s">
        <v>421</v>
      </c>
    </row>
    <row r="11" spans="1:63" x14ac:dyDescent="0.25">
      <c r="F11">
        <f>G8-G9</f>
        <v>0</v>
      </c>
      <c r="J11">
        <f>K8-K9</f>
        <v>0</v>
      </c>
      <c r="N11">
        <f>O8-O9</f>
        <v>0</v>
      </c>
      <c r="R11">
        <f>S9-S8</f>
        <v>0</v>
      </c>
      <c r="V11">
        <f>W8-W9</f>
        <v>0</v>
      </c>
      <c r="Z11">
        <f>AA8-AA9</f>
        <v>0</v>
      </c>
      <c r="AD11">
        <f>AE9-AE8</f>
        <v>0</v>
      </c>
      <c r="AH11">
        <f>AI9-AI8</f>
        <v>0</v>
      </c>
      <c r="AL11">
        <f>AM8-AM9</f>
        <v>0</v>
      </c>
      <c r="AP11">
        <f>AQ9-AQ8</f>
        <v>0</v>
      </c>
      <c r="AT11">
        <f>AU8-AU9</f>
        <v>0</v>
      </c>
      <c r="AX11">
        <f>AY9-AY8</f>
        <v>0</v>
      </c>
      <c r="BB11">
        <f>BC9-BC8</f>
        <v>0</v>
      </c>
      <c r="BF11">
        <f>BG8-BG9</f>
        <v>0</v>
      </c>
    </row>
    <row r="13" spans="1:63" x14ac:dyDescent="0.25">
      <c r="AB13" s="86"/>
      <c r="AC13" s="86"/>
      <c r="AD13" s="86"/>
      <c r="AE13" s="86"/>
      <c r="AF13" s="86"/>
      <c r="AG13" s="86"/>
      <c r="AH13" s="86"/>
      <c r="AI13" s="86"/>
      <c r="AV13" s="86"/>
      <c r="AW13" s="86"/>
      <c r="AX13" s="86"/>
      <c r="AY13" s="86"/>
      <c r="AZ13" s="86"/>
      <c r="BA13" s="86"/>
      <c r="BB13" s="86"/>
      <c r="BC13" s="86"/>
    </row>
    <row r="14" spans="1:63" x14ac:dyDescent="0.25">
      <c r="AB14" s="86"/>
      <c r="AC14" s="86"/>
      <c r="AD14" s="86"/>
      <c r="AE14" s="86"/>
      <c r="AF14" s="86"/>
      <c r="AG14" s="86"/>
      <c r="AH14" s="86"/>
      <c r="AI14" s="86"/>
      <c r="AV14" s="86"/>
      <c r="AW14" s="86"/>
      <c r="AX14" s="86"/>
      <c r="AY14" s="86"/>
      <c r="AZ14" s="86"/>
      <c r="BA14" s="86"/>
      <c r="BB14" s="86"/>
      <c r="BC14" s="86"/>
    </row>
    <row r="15" spans="1:63" x14ac:dyDescent="0.25">
      <c r="C15" s="82" t="s">
        <v>16</v>
      </c>
      <c r="D15" t="s">
        <v>405</v>
      </c>
      <c r="K15">
        <v>20</v>
      </c>
      <c r="M15" s="82" t="s">
        <v>396</v>
      </c>
      <c r="N15" t="s">
        <v>409</v>
      </c>
      <c r="T15">
        <v>10</v>
      </c>
      <c r="Y15" s="82" t="s">
        <v>400</v>
      </c>
      <c r="Z15" t="s">
        <v>414</v>
      </c>
      <c r="AF15">
        <v>2</v>
      </c>
      <c r="AN15" s="81" t="s">
        <v>418</v>
      </c>
    </row>
    <row r="16" spans="1:63" x14ac:dyDescent="0.25">
      <c r="C16" s="82" t="s">
        <v>17</v>
      </c>
      <c r="D16" t="s">
        <v>406</v>
      </c>
      <c r="K16">
        <v>34</v>
      </c>
      <c r="M16" s="82" t="s">
        <v>304</v>
      </c>
      <c r="N16" t="s">
        <v>410</v>
      </c>
      <c r="T16">
        <v>6</v>
      </c>
      <c r="Y16" s="82" t="s">
        <v>401</v>
      </c>
      <c r="Z16" t="s">
        <v>415</v>
      </c>
      <c r="AF16">
        <v>3</v>
      </c>
      <c r="AN16" s="81" t="s">
        <v>419</v>
      </c>
    </row>
    <row r="17" spans="3:32" x14ac:dyDescent="0.25">
      <c r="C17" s="82" t="s">
        <v>18</v>
      </c>
      <c r="D17" t="s">
        <v>407</v>
      </c>
      <c r="K17">
        <v>4</v>
      </c>
      <c r="M17" s="82" t="s">
        <v>399</v>
      </c>
      <c r="N17" t="s">
        <v>411</v>
      </c>
      <c r="T17">
        <v>2</v>
      </c>
      <c r="Y17" s="82" t="s">
        <v>374</v>
      </c>
      <c r="Z17" t="s">
        <v>416</v>
      </c>
      <c r="AF17">
        <v>1</v>
      </c>
    </row>
    <row r="18" spans="3:32" x14ac:dyDescent="0.25">
      <c r="C18" s="82" t="s">
        <v>19</v>
      </c>
      <c r="D18" t="s">
        <v>408</v>
      </c>
      <c r="K18">
        <v>15</v>
      </c>
      <c r="M18" s="82" t="s">
        <v>398</v>
      </c>
      <c r="N18" t="s">
        <v>413</v>
      </c>
      <c r="T18">
        <v>1</v>
      </c>
      <c r="Y18" s="82" t="s">
        <v>402</v>
      </c>
      <c r="Z18" t="s">
        <v>417</v>
      </c>
      <c r="AF18">
        <v>1</v>
      </c>
    </row>
    <row r="19" spans="3:32" x14ac:dyDescent="0.25">
      <c r="C19" s="82" t="s">
        <v>29</v>
      </c>
      <c r="D19" s="148" t="s">
        <v>427</v>
      </c>
      <c r="E19" s="148"/>
      <c r="F19" s="148"/>
      <c r="G19" s="148"/>
      <c r="H19" s="87"/>
      <c r="I19" s="87"/>
      <c r="J19" s="87"/>
      <c r="K19">
        <v>35</v>
      </c>
      <c r="M19" s="82" t="s">
        <v>397</v>
      </c>
      <c r="N19" t="s">
        <v>412</v>
      </c>
      <c r="T19">
        <v>5</v>
      </c>
    </row>
    <row r="30" spans="3:32" ht="27.75" customHeight="1" x14ac:dyDescent="0.25"/>
  </sheetData>
  <mergeCells count="1">
    <mergeCell ref="D19:G1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68"/>
  <sheetViews>
    <sheetView workbookViewId="0">
      <selection activeCell="B9" sqref="B9"/>
    </sheetView>
  </sheetViews>
  <sheetFormatPr baseColWidth="10" defaultRowHeight="15" x14ac:dyDescent="0.25"/>
  <cols>
    <col min="1" max="1" width="21.85546875" customWidth="1"/>
    <col min="2" max="2" width="20.85546875" customWidth="1"/>
  </cols>
  <sheetData>
    <row r="1" spans="1:4" x14ac:dyDescent="0.25">
      <c r="A1" s="149" t="s">
        <v>429</v>
      </c>
      <c r="B1" s="149"/>
      <c r="C1" s="149"/>
      <c r="D1" s="149"/>
    </row>
    <row r="2" spans="1:4" x14ac:dyDescent="0.25">
      <c r="A2" s="149"/>
      <c r="B2" s="149"/>
      <c r="C2" s="149"/>
      <c r="D2" s="149"/>
    </row>
    <row r="3" spans="1:4" x14ac:dyDescent="0.25">
      <c r="A3" s="6" t="s">
        <v>423</v>
      </c>
      <c r="B3" s="6" t="s">
        <v>424</v>
      </c>
      <c r="C3" s="6" t="s">
        <v>422</v>
      </c>
      <c r="D3" s="6" t="s">
        <v>425</v>
      </c>
    </row>
    <row r="4" spans="1:4" x14ac:dyDescent="0.25">
      <c r="A4" s="89" t="s">
        <v>444</v>
      </c>
      <c r="B4" s="84">
        <v>42198</v>
      </c>
      <c r="C4" s="9">
        <v>14</v>
      </c>
      <c r="D4" s="84">
        <f>B4+C4</f>
        <v>42212</v>
      </c>
    </row>
    <row r="5" spans="1:4" x14ac:dyDescent="0.25">
      <c r="A5" s="83" t="s">
        <v>438</v>
      </c>
      <c r="B5" s="84">
        <f>D4</f>
        <v>42212</v>
      </c>
      <c r="C5" s="3">
        <v>7</v>
      </c>
      <c r="D5" s="85">
        <f>C5+B5</f>
        <v>42219</v>
      </c>
    </row>
    <row r="6" spans="1:4" x14ac:dyDescent="0.25">
      <c r="A6" s="83" t="s">
        <v>20</v>
      </c>
      <c r="B6" s="85">
        <f>D5</f>
        <v>42219</v>
      </c>
      <c r="C6" s="3">
        <v>38</v>
      </c>
      <c r="D6" s="85">
        <f>B6+C6</f>
        <v>42257</v>
      </c>
    </row>
    <row r="7" spans="1:4" x14ac:dyDescent="0.25">
      <c r="A7" s="83" t="s">
        <v>439</v>
      </c>
      <c r="B7" s="85">
        <f>B5</f>
        <v>42212</v>
      </c>
      <c r="C7" s="3">
        <f>'Ruta critica lineal q'!K17</f>
        <v>4</v>
      </c>
      <c r="D7" s="85">
        <f t="shared" ref="D7:D17" si="0">B7+C7</f>
        <v>42216</v>
      </c>
    </row>
    <row r="8" spans="1:4" x14ac:dyDescent="0.25">
      <c r="A8" s="83" t="s">
        <v>24</v>
      </c>
      <c r="B8" s="85">
        <f>D9</f>
        <v>42297</v>
      </c>
      <c r="C8" s="3">
        <v>15</v>
      </c>
      <c r="D8" s="85">
        <f t="shared" si="0"/>
        <v>42312</v>
      </c>
    </row>
    <row r="9" spans="1:4" x14ac:dyDescent="0.25">
      <c r="A9" s="83" t="s">
        <v>440</v>
      </c>
      <c r="B9" s="85">
        <f>D6</f>
        <v>42257</v>
      </c>
      <c r="C9" s="3">
        <v>40</v>
      </c>
      <c r="D9" s="85">
        <f t="shared" si="0"/>
        <v>42297</v>
      </c>
    </row>
    <row r="10" spans="1:4" x14ac:dyDescent="0.25">
      <c r="A10" s="83" t="s">
        <v>441</v>
      </c>
      <c r="B10" s="85">
        <v>42300</v>
      </c>
      <c r="C10" s="3">
        <v>13</v>
      </c>
      <c r="D10" s="85">
        <f t="shared" si="0"/>
        <v>42313</v>
      </c>
    </row>
    <row r="11" spans="1:4" x14ac:dyDescent="0.25">
      <c r="A11" s="83" t="s">
        <v>442</v>
      </c>
      <c r="B11" s="85">
        <f>D10</f>
        <v>42313</v>
      </c>
      <c r="C11" s="3">
        <v>7</v>
      </c>
      <c r="D11" s="85">
        <f t="shared" si="0"/>
        <v>42320</v>
      </c>
    </row>
    <row r="12" spans="1:4" x14ac:dyDescent="0.25">
      <c r="A12" s="83" t="s">
        <v>443</v>
      </c>
      <c r="B12" s="85">
        <f>B11</f>
        <v>42313</v>
      </c>
      <c r="C12" s="3">
        <f>'Ruta critica lineal q'!T17</f>
        <v>2</v>
      </c>
      <c r="D12" s="85">
        <f t="shared" si="0"/>
        <v>42315</v>
      </c>
    </row>
    <row r="13" spans="1:4" x14ac:dyDescent="0.25">
      <c r="A13" s="83" t="s">
        <v>432</v>
      </c>
      <c r="B13" s="85">
        <f>B10</f>
        <v>42300</v>
      </c>
      <c r="C13" s="3">
        <f>'Ruta critica lineal q'!T18</f>
        <v>1</v>
      </c>
      <c r="D13" s="85">
        <f t="shared" si="0"/>
        <v>42301</v>
      </c>
    </row>
    <row r="14" spans="1:4" x14ac:dyDescent="0.25">
      <c r="A14" s="83" t="s">
        <v>433</v>
      </c>
      <c r="B14" s="85">
        <f>B13</f>
        <v>42300</v>
      </c>
      <c r="C14" s="3">
        <v>6</v>
      </c>
      <c r="D14" s="85">
        <f t="shared" si="0"/>
        <v>42306</v>
      </c>
    </row>
    <row r="15" spans="1:4" x14ac:dyDescent="0.25">
      <c r="A15" s="83" t="s">
        <v>434</v>
      </c>
      <c r="B15" s="85">
        <f>'Diagrama de Gant'!D11</f>
        <v>42320</v>
      </c>
      <c r="C15" s="3">
        <f>'Ruta critica lineal q'!AF15</f>
        <v>2</v>
      </c>
      <c r="D15" s="85">
        <f t="shared" si="0"/>
        <v>42322</v>
      </c>
    </row>
    <row r="16" spans="1:4" x14ac:dyDescent="0.25">
      <c r="A16" s="83" t="s">
        <v>435</v>
      </c>
      <c r="B16" s="85">
        <f>B15</f>
        <v>42320</v>
      </c>
      <c r="C16" s="3">
        <f>'Ruta critica lineal q'!AF16</f>
        <v>3</v>
      </c>
      <c r="D16" s="85">
        <f t="shared" si="0"/>
        <v>42323</v>
      </c>
    </row>
    <row r="17" spans="1:8" x14ac:dyDescent="0.25">
      <c r="A17" s="83" t="s">
        <v>436</v>
      </c>
      <c r="B17" s="85">
        <f>B15</f>
        <v>42320</v>
      </c>
      <c r="C17" s="3">
        <f>'Ruta critica lineal q'!AF17</f>
        <v>1</v>
      </c>
      <c r="D17" s="85">
        <f t="shared" si="0"/>
        <v>42321</v>
      </c>
    </row>
    <row r="18" spans="1:8" x14ac:dyDescent="0.25">
      <c r="A18" s="83" t="s">
        <v>437</v>
      </c>
      <c r="B18" s="85">
        <f>D15</f>
        <v>42322</v>
      </c>
      <c r="C18" s="3">
        <v>2</v>
      </c>
      <c r="D18" s="85">
        <f>C18+B18</f>
        <v>42324</v>
      </c>
    </row>
    <row r="19" spans="1:8" x14ac:dyDescent="0.25">
      <c r="B19" s="3" t="s">
        <v>431</v>
      </c>
      <c r="C19">
        <f>C4+C5+C6+C7+C8+C9+C10+C11+C12+C13+C14+C15+C16+C17+C18</f>
        <v>155</v>
      </c>
      <c r="D19" s="3"/>
    </row>
    <row r="20" spans="1:8" x14ac:dyDescent="0.25">
      <c r="B20" s="57">
        <f>B4</f>
        <v>42198</v>
      </c>
      <c r="D20" s="57">
        <f>D18</f>
        <v>42324</v>
      </c>
    </row>
    <row r="28" spans="1:8" x14ac:dyDescent="0.25">
      <c r="A28" s="82" t="s">
        <v>426</v>
      </c>
      <c r="B28" t="s">
        <v>428</v>
      </c>
    </row>
    <row r="29" spans="1:8" x14ac:dyDescent="0.25">
      <c r="A29" s="82" t="s">
        <v>16</v>
      </c>
      <c r="B29" t="s">
        <v>405</v>
      </c>
      <c r="D29" s="82" t="s">
        <v>396</v>
      </c>
      <c r="E29" t="s">
        <v>409</v>
      </c>
      <c r="G29" s="82" t="s">
        <v>400</v>
      </c>
      <c r="H29" t="s">
        <v>414</v>
      </c>
    </row>
    <row r="30" spans="1:8" x14ac:dyDescent="0.25">
      <c r="A30" s="82" t="s">
        <v>17</v>
      </c>
      <c r="B30" t="s">
        <v>406</v>
      </c>
      <c r="D30" s="82" t="s">
        <v>304</v>
      </c>
      <c r="E30" t="s">
        <v>410</v>
      </c>
      <c r="G30" s="82" t="s">
        <v>401</v>
      </c>
      <c r="H30" t="s">
        <v>415</v>
      </c>
    </row>
    <row r="31" spans="1:8" x14ac:dyDescent="0.25">
      <c r="A31" s="82" t="s">
        <v>18</v>
      </c>
      <c r="B31" t="s">
        <v>407</v>
      </c>
      <c r="D31" s="82" t="s">
        <v>399</v>
      </c>
      <c r="E31" t="s">
        <v>411</v>
      </c>
      <c r="G31" s="82" t="s">
        <v>374</v>
      </c>
      <c r="H31" t="s">
        <v>416</v>
      </c>
    </row>
    <row r="32" spans="1:8" x14ac:dyDescent="0.25">
      <c r="A32" s="82" t="s">
        <v>19</v>
      </c>
      <c r="B32" t="s">
        <v>408</v>
      </c>
      <c r="D32" s="82" t="s">
        <v>398</v>
      </c>
      <c r="E32" t="s">
        <v>413</v>
      </c>
      <c r="G32" s="82" t="s">
        <v>402</v>
      </c>
      <c r="H32" t="s">
        <v>417</v>
      </c>
    </row>
    <row r="33" spans="1:5" ht="15" customHeight="1" x14ac:dyDescent="0.25">
      <c r="A33" s="82" t="s">
        <v>29</v>
      </c>
      <c r="B33" s="8" t="s">
        <v>427</v>
      </c>
      <c r="C33" s="1"/>
      <c r="D33" s="82" t="s">
        <v>397</v>
      </c>
      <c r="E33" t="s">
        <v>412</v>
      </c>
    </row>
    <row r="40" spans="1:5" x14ac:dyDescent="0.25">
      <c r="A40" s="149" t="s">
        <v>430</v>
      </c>
      <c r="B40" s="149"/>
      <c r="C40" s="149"/>
      <c r="D40" s="149"/>
    </row>
    <row r="41" spans="1:5" x14ac:dyDescent="0.25">
      <c r="A41" s="149"/>
      <c r="B41" s="149"/>
      <c r="C41" s="149"/>
      <c r="D41" s="149"/>
    </row>
    <row r="42" spans="1:5" x14ac:dyDescent="0.25">
      <c r="A42" s="6" t="s">
        <v>423</v>
      </c>
      <c r="B42" s="6" t="s">
        <v>424</v>
      </c>
      <c r="C42" s="6" t="s">
        <v>422</v>
      </c>
      <c r="D42" s="6" t="s">
        <v>425</v>
      </c>
    </row>
    <row r="43" spans="1:5" x14ac:dyDescent="0.25">
      <c r="A43" s="89" t="s">
        <v>444</v>
      </c>
      <c r="B43" s="84">
        <f>B4</f>
        <v>42198</v>
      </c>
      <c r="C43" s="9">
        <f>C4</f>
        <v>14</v>
      </c>
      <c r="D43" s="84">
        <f>B43+C43</f>
        <v>42212</v>
      </c>
    </row>
    <row r="44" spans="1:5" x14ac:dyDescent="0.25">
      <c r="A44" s="88" t="s">
        <v>438</v>
      </c>
      <c r="B44" s="84">
        <f>D43</f>
        <v>42212</v>
      </c>
      <c r="C44" s="9">
        <f t="shared" ref="C44:C57" si="1">C5</f>
        <v>7</v>
      </c>
      <c r="D44" s="84">
        <f t="shared" ref="D44:D57" si="2">B44+C44</f>
        <v>42219</v>
      </c>
    </row>
    <row r="45" spans="1:5" x14ac:dyDescent="0.25">
      <c r="A45" s="88" t="s">
        <v>20</v>
      </c>
      <c r="B45" s="84">
        <f t="shared" ref="B45:B57" si="3">D44</f>
        <v>42219</v>
      </c>
      <c r="C45" s="9">
        <f t="shared" si="1"/>
        <v>38</v>
      </c>
      <c r="D45" s="84">
        <f t="shared" si="2"/>
        <v>42257</v>
      </c>
    </row>
    <row r="46" spans="1:5" x14ac:dyDescent="0.25">
      <c r="A46" s="88" t="s">
        <v>439</v>
      </c>
      <c r="B46" s="84">
        <f t="shared" si="3"/>
        <v>42257</v>
      </c>
      <c r="C46" s="9">
        <f t="shared" si="1"/>
        <v>4</v>
      </c>
      <c r="D46" s="84">
        <f t="shared" si="2"/>
        <v>42261</v>
      </c>
    </row>
    <row r="47" spans="1:5" x14ac:dyDescent="0.25">
      <c r="A47" s="88" t="s">
        <v>24</v>
      </c>
      <c r="B47" s="84">
        <f t="shared" si="3"/>
        <v>42261</v>
      </c>
      <c r="C47" s="9">
        <f t="shared" si="1"/>
        <v>15</v>
      </c>
      <c r="D47" s="84">
        <f t="shared" si="2"/>
        <v>42276</v>
      </c>
    </row>
    <row r="48" spans="1:5" x14ac:dyDescent="0.25">
      <c r="A48" s="88" t="s">
        <v>440</v>
      </c>
      <c r="B48" s="84">
        <f t="shared" si="3"/>
        <v>42276</v>
      </c>
      <c r="C48" s="9">
        <f t="shared" si="1"/>
        <v>40</v>
      </c>
      <c r="D48" s="84">
        <f t="shared" si="2"/>
        <v>42316</v>
      </c>
    </row>
    <row r="49" spans="1:8" x14ac:dyDescent="0.25">
      <c r="A49" s="88" t="s">
        <v>441</v>
      </c>
      <c r="B49" s="84">
        <f t="shared" si="3"/>
        <v>42316</v>
      </c>
      <c r="C49" s="9">
        <f t="shared" si="1"/>
        <v>13</v>
      </c>
      <c r="D49" s="84">
        <f t="shared" si="2"/>
        <v>42329</v>
      </c>
    </row>
    <row r="50" spans="1:8" x14ac:dyDescent="0.25">
      <c r="A50" s="88" t="s">
        <v>442</v>
      </c>
      <c r="B50" s="84">
        <f t="shared" si="3"/>
        <v>42329</v>
      </c>
      <c r="C50" s="9">
        <f t="shared" si="1"/>
        <v>7</v>
      </c>
      <c r="D50" s="84">
        <f t="shared" si="2"/>
        <v>42336</v>
      </c>
    </row>
    <row r="51" spans="1:8" x14ac:dyDescent="0.25">
      <c r="A51" s="88" t="s">
        <v>443</v>
      </c>
      <c r="B51" s="84">
        <f t="shared" si="3"/>
        <v>42336</v>
      </c>
      <c r="C51" s="9">
        <f t="shared" si="1"/>
        <v>2</v>
      </c>
      <c r="D51" s="84">
        <f t="shared" si="2"/>
        <v>42338</v>
      </c>
    </row>
    <row r="52" spans="1:8" x14ac:dyDescent="0.25">
      <c r="A52" s="88" t="s">
        <v>432</v>
      </c>
      <c r="B52" s="84">
        <f t="shared" si="3"/>
        <v>42338</v>
      </c>
      <c r="C52" s="9">
        <f t="shared" si="1"/>
        <v>1</v>
      </c>
      <c r="D52" s="84">
        <f t="shared" si="2"/>
        <v>42339</v>
      </c>
    </row>
    <row r="53" spans="1:8" x14ac:dyDescent="0.25">
      <c r="A53" s="88" t="s">
        <v>433</v>
      </c>
      <c r="B53" s="84">
        <f t="shared" si="3"/>
        <v>42339</v>
      </c>
      <c r="C53" s="9">
        <f t="shared" si="1"/>
        <v>6</v>
      </c>
      <c r="D53" s="84">
        <f t="shared" si="2"/>
        <v>42345</v>
      </c>
    </row>
    <row r="54" spans="1:8" x14ac:dyDescent="0.25">
      <c r="A54" s="88" t="s">
        <v>434</v>
      </c>
      <c r="B54" s="84">
        <f t="shared" si="3"/>
        <v>42345</v>
      </c>
      <c r="C54" s="9">
        <f t="shared" si="1"/>
        <v>2</v>
      </c>
      <c r="D54" s="84">
        <f t="shared" si="2"/>
        <v>42347</v>
      </c>
    </row>
    <row r="55" spans="1:8" x14ac:dyDescent="0.25">
      <c r="A55" s="88" t="s">
        <v>435</v>
      </c>
      <c r="B55" s="84">
        <f t="shared" si="3"/>
        <v>42347</v>
      </c>
      <c r="C55" s="9">
        <f t="shared" si="1"/>
        <v>3</v>
      </c>
      <c r="D55" s="84">
        <f t="shared" si="2"/>
        <v>42350</v>
      </c>
    </row>
    <row r="56" spans="1:8" x14ac:dyDescent="0.25">
      <c r="A56" s="88" t="s">
        <v>436</v>
      </c>
      <c r="B56" s="84">
        <f t="shared" si="3"/>
        <v>42350</v>
      </c>
      <c r="C56" s="9">
        <f t="shared" si="1"/>
        <v>1</v>
      </c>
      <c r="D56" s="84">
        <f t="shared" si="2"/>
        <v>42351</v>
      </c>
    </row>
    <row r="57" spans="1:8" x14ac:dyDescent="0.25">
      <c r="A57" s="88" t="s">
        <v>437</v>
      </c>
      <c r="B57" s="84">
        <f t="shared" si="3"/>
        <v>42351</v>
      </c>
      <c r="C57" s="9">
        <f t="shared" si="1"/>
        <v>2</v>
      </c>
      <c r="D57" s="84">
        <f t="shared" si="2"/>
        <v>42353</v>
      </c>
    </row>
    <row r="58" spans="1:8" x14ac:dyDescent="0.25">
      <c r="B58" s="3" t="s">
        <v>431</v>
      </c>
      <c r="C58">
        <f>C43+C44+C45+C46+C47+C48+C49+C50+C51+C52+C53+C54+C55+C56+C57</f>
        <v>155</v>
      </c>
      <c r="D58" s="3"/>
    </row>
    <row r="59" spans="1:8" x14ac:dyDescent="0.25">
      <c r="B59" s="57">
        <f>B43+B44+B45+B46+B47+B48+B49+B50+B51+B52+B53+B54+B55+B56+B57</f>
        <v>634474</v>
      </c>
      <c r="D59" s="57">
        <f>D43+D45+D44+D46+D47+D48+D49+D50+D51+D52+D53+D54+D55+D56+D57</f>
        <v>634629</v>
      </c>
    </row>
    <row r="63" spans="1:8" x14ac:dyDescent="0.25">
      <c r="A63" s="82" t="s">
        <v>426</v>
      </c>
      <c r="B63" t="s">
        <v>428</v>
      </c>
    </row>
    <row r="64" spans="1:8" x14ac:dyDescent="0.25">
      <c r="A64" s="82" t="s">
        <v>16</v>
      </c>
      <c r="B64" t="s">
        <v>405</v>
      </c>
      <c r="D64" s="82" t="s">
        <v>396</v>
      </c>
      <c r="E64" t="s">
        <v>409</v>
      </c>
      <c r="G64" s="82" t="s">
        <v>400</v>
      </c>
      <c r="H64" t="s">
        <v>414</v>
      </c>
    </row>
    <row r="65" spans="1:8" x14ac:dyDescent="0.25">
      <c r="A65" s="82" t="s">
        <v>17</v>
      </c>
      <c r="B65" t="s">
        <v>406</v>
      </c>
      <c r="D65" s="82" t="s">
        <v>304</v>
      </c>
      <c r="E65" t="s">
        <v>410</v>
      </c>
      <c r="G65" s="82" t="s">
        <v>401</v>
      </c>
      <c r="H65" t="s">
        <v>415</v>
      </c>
    </row>
    <row r="66" spans="1:8" x14ac:dyDescent="0.25">
      <c r="A66" s="82" t="s">
        <v>18</v>
      </c>
      <c r="B66" t="s">
        <v>407</v>
      </c>
      <c r="D66" s="82" t="s">
        <v>399</v>
      </c>
      <c r="E66" t="s">
        <v>411</v>
      </c>
      <c r="G66" s="82" t="s">
        <v>374</v>
      </c>
      <c r="H66" t="s">
        <v>416</v>
      </c>
    </row>
    <row r="67" spans="1:8" x14ac:dyDescent="0.25">
      <c r="A67" s="82" t="s">
        <v>19</v>
      </c>
      <c r="B67" t="s">
        <v>408</v>
      </c>
      <c r="D67" s="82" t="s">
        <v>398</v>
      </c>
      <c r="E67" t="s">
        <v>413</v>
      </c>
      <c r="G67" s="82" t="s">
        <v>402</v>
      </c>
      <c r="H67" t="s">
        <v>417</v>
      </c>
    </row>
    <row r="68" spans="1:8" x14ac:dyDescent="0.25">
      <c r="A68" s="82" t="s">
        <v>29</v>
      </c>
      <c r="B68" s="8" t="s">
        <v>427</v>
      </c>
      <c r="C68" s="1"/>
      <c r="D68" s="82" t="s">
        <v>397</v>
      </c>
      <c r="E68" t="s">
        <v>412</v>
      </c>
    </row>
  </sheetData>
  <mergeCells count="2">
    <mergeCell ref="A1:D2"/>
    <mergeCell ref="A40:D4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
  <sheetViews>
    <sheetView zoomScale="70" zoomScaleNormal="70" workbookViewId="0">
      <selection activeCell="D20" sqref="D20"/>
    </sheetView>
  </sheetViews>
  <sheetFormatPr baseColWidth="10" defaultRowHeight="15" x14ac:dyDescent="0.25"/>
  <cols>
    <col min="1" max="1" width="42.140625" customWidth="1"/>
    <col min="2" max="2" width="14" style="28" customWidth="1"/>
    <col min="3" max="3" width="11.7109375" customWidth="1"/>
  </cols>
  <sheetData>
    <row r="1" spans="1:20" ht="30" x14ac:dyDescent="0.25">
      <c r="A1" s="90" t="s">
        <v>471</v>
      </c>
      <c r="C1" s="97" t="s">
        <v>472</v>
      </c>
      <c r="D1" s="1" t="s">
        <v>473</v>
      </c>
      <c r="E1" s="1" t="s">
        <v>474</v>
      </c>
      <c r="F1" s="1" t="s">
        <v>478</v>
      </c>
      <c r="G1" s="1" t="s">
        <v>479</v>
      </c>
      <c r="H1" s="1" t="s">
        <v>480</v>
      </c>
      <c r="I1" s="1" t="s">
        <v>481</v>
      </c>
      <c r="J1" s="1" t="s">
        <v>482</v>
      </c>
      <c r="K1" s="1" t="s">
        <v>483</v>
      </c>
      <c r="L1" s="1" t="s">
        <v>484</v>
      </c>
      <c r="M1" s="1" t="s">
        <v>485</v>
      </c>
      <c r="N1" s="1" t="s">
        <v>486</v>
      </c>
      <c r="O1" s="1" t="s">
        <v>487</v>
      </c>
      <c r="P1" s="1" t="s">
        <v>488</v>
      </c>
      <c r="Q1" s="1" t="s">
        <v>489</v>
      </c>
      <c r="R1" s="1" t="s">
        <v>490</v>
      </c>
      <c r="S1" s="1" t="s">
        <v>491</v>
      </c>
      <c r="T1" s="1" t="s">
        <v>501</v>
      </c>
    </row>
    <row r="2" spans="1:20" x14ac:dyDescent="0.25">
      <c r="A2" s="90" t="s">
        <v>470</v>
      </c>
      <c r="C2" s="8"/>
      <c r="D2" s="8"/>
      <c r="E2" s="8"/>
      <c r="F2" s="8"/>
    </row>
    <row r="3" spans="1:20" x14ac:dyDescent="0.25">
      <c r="A3" s="90" t="s">
        <v>469</v>
      </c>
      <c r="C3" t="s">
        <v>445</v>
      </c>
      <c r="D3" t="s">
        <v>446</v>
      </c>
      <c r="E3" t="s">
        <v>447</v>
      </c>
      <c r="F3" t="s">
        <v>448</v>
      </c>
      <c r="G3" t="s">
        <v>449</v>
      </c>
      <c r="H3" t="s">
        <v>450</v>
      </c>
      <c r="I3" t="s">
        <v>451</v>
      </c>
      <c r="J3" t="s">
        <v>452</v>
      </c>
      <c r="K3" t="s">
        <v>453</v>
      </c>
      <c r="L3" t="s">
        <v>454</v>
      </c>
      <c r="M3" t="s">
        <v>455</v>
      </c>
      <c r="N3" t="s">
        <v>456</v>
      </c>
      <c r="O3" t="s">
        <v>457</v>
      </c>
      <c r="P3" t="s">
        <v>458</v>
      </c>
      <c r="Q3" t="s">
        <v>459</v>
      </c>
      <c r="R3" t="s">
        <v>460</v>
      </c>
      <c r="S3" t="s">
        <v>461</v>
      </c>
      <c r="T3" t="s">
        <v>462</v>
      </c>
    </row>
    <row r="4" spans="1:20" x14ac:dyDescent="0.25">
      <c r="A4" s="89" t="s">
        <v>444</v>
      </c>
      <c r="B4" s="95"/>
      <c r="C4" s="98"/>
      <c r="D4" s="98"/>
      <c r="E4" s="98"/>
    </row>
    <row r="5" spans="1:20" x14ac:dyDescent="0.25">
      <c r="A5" s="88" t="s">
        <v>438</v>
      </c>
      <c r="B5" s="96"/>
      <c r="D5" s="28"/>
      <c r="E5" s="98"/>
    </row>
    <row r="6" spans="1:20" x14ac:dyDescent="0.25">
      <c r="A6" s="88" t="s">
        <v>20</v>
      </c>
      <c r="B6" s="96"/>
      <c r="E6" s="28"/>
      <c r="F6" s="98"/>
      <c r="G6" s="98"/>
      <c r="H6" s="98"/>
      <c r="I6" s="98"/>
      <c r="J6" s="98"/>
      <c r="K6" s="98"/>
    </row>
    <row r="7" spans="1:20" x14ac:dyDescent="0.25">
      <c r="A7" s="88" t="s">
        <v>439</v>
      </c>
      <c r="B7" s="96"/>
      <c r="E7" s="98"/>
    </row>
    <row r="8" spans="1:20" x14ac:dyDescent="0.25">
      <c r="A8" s="88" t="s">
        <v>24</v>
      </c>
      <c r="B8" s="96"/>
      <c r="K8" s="28"/>
      <c r="L8" s="28"/>
      <c r="M8" s="28"/>
      <c r="N8" s="28"/>
      <c r="O8" s="28"/>
      <c r="Q8" s="98"/>
      <c r="R8" s="98"/>
      <c r="S8" s="98"/>
    </row>
    <row r="9" spans="1:20" x14ac:dyDescent="0.25">
      <c r="A9" s="88" t="s">
        <v>440</v>
      </c>
      <c r="B9" s="96"/>
      <c r="K9" s="98"/>
      <c r="L9" s="98"/>
      <c r="M9" s="98"/>
      <c r="N9" s="98"/>
      <c r="O9" s="98"/>
      <c r="P9" s="98"/>
      <c r="Q9" s="98"/>
    </row>
    <row r="10" spans="1:20" x14ac:dyDescent="0.25">
      <c r="A10" s="88" t="s">
        <v>441</v>
      </c>
      <c r="B10" s="96"/>
      <c r="M10" s="28"/>
      <c r="N10" s="28"/>
      <c r="O10" s="28"/>
      <c r="Q10" s="98"/>
      <c r="R10" s="98"/>
      <c r="S10" s="98"/>
    </row>
    <row r="11" spans="1:20" x14ac:dyDescent="0.25">
      <c r="A11" s="88" t="s">
        <v>442</v>
      </c>
      <c r="B11" s="96"/>
      <c r="O11" s="28"/>
      <c r="P11" s="28"/>
      <c r="S11" s="98"/>
      <c r="T11" s="98"/>
    </row>
    <row r="12" spans="1:20" x14ac:dyDescent="0.25">
      <c r="A12" s="88" t="s">
        <v>443</v>
      </c>
      <c r="B12" s="96"/>
      <c r="S12" s="98"/>
    </row>
    <row r="13" spans="1:20" x14ac:dyDescent="0.25">
      <c r="A13" s="88" t="s">
        <v>432</v>
      </c>
      <c r="B13" s="96"/>
      <c r="Q13" s="98"/>
    </row>
    <row r="14" spans="1:20" x14ac:dyDescent="0.25">
      <c r="A14" s="88" t="s">
        <v>433</v>
      </c>
      <c r="B14" s="96"/>
      <c r="Q14" s="98"/>
      <c r="R14" s="98"/>
    </row>
    <row r="15" spans="1:20" x14ac:dyDescent="0.25">
      <c r="A15" s="88" t="s">
        <v>434</v>
      </c>
      <c r="B15" s="96"/>
      <c r="T15" s="98"/>
    </row>
    <row r="16" spans="1:20" x14ac:dyDescent="0.25">
      <c r="A16" s="88" t="s">
        <v>435</v>
      </c>
      <c r="B16" s="96"/>
      <c r="T16" s="98"/>
    </row>
    <row r="17" spans="1:20" x14ac:dyDescent="0.25">
      <c r="A17" s="88" t="s">
        <v>436</v>
      </c>
      <c r="B17" s="96"/>
      <c r="T17" s="98"/>
    </row>
    <row r="18" spans="1:20" x14ac:dyDescent="0.25">
      <c r="A18" s="88" t="s">
        <v>437</v>
      </c>
      <c r="B18" s="96"/>
      <c r="T18" s="98"/>
    </row>
    <row r="19" spans="1:20" x14ac:dyDescent="0.25">
      <c r="A19" s="92" t="s">
        <v>468</v>
      </c>
      <c r="B19" s="92" t="s">
        <v>39</v>
      </c>
    </row>
    <row r="20" spans="1:20" x14ac:dyDescent="0.25">
      <c r="A20" s="94" t="s">
        <v>467</v>
      </c>
      <c r="B20" s="99" t="s">
        <v>34</v>
      </c>
      <c r="D20" s="3">
        <v>1</v>
      </c>
    </row>
    <row r="21" spans="1:20" x14ac:dyDescent="0.25">
      <c r="A21" s="93" t="str">
        <f>Materiales!A5</f>
        <v>CEMENTO CRUZ AZUL</v>
      </c>
      <c r="B21" s="9" t="s">
        <v>475</v>
      </c>
      <c r="F21" s="3">
        <f>'Matrices Costo Directo'!J100</f>
        <v>0.77000000000000013</v>
      </c>
      <c r="H21">
        <f>'Matrices Costo Directo'!M115</f>
        <v>3.0700799999999999</v>
      </c>
      <c r="I21">
        <f>'Matrices Costo Directo'!N115</f>
        <v>2.5583999999999998</v>
      </c>
      <c r="K21">
        <f>'Matrices Costo Directo'!M252</f>
        <v>0.52799999999999991</v>
      </c>
      <c r="L21">
        <f>'Matrices Costo Directo'!N252</f>
        <v>0.35199999999999998</v>
      </c>
      <c r="M21">
        <f>'Matrices Costo Directo'!L278</f>
        <v>0.28799999999999998</v>
      </c>
      <c r="N21">
        <f>'Matrices Costo Directo'!M303</f>
        <v>1.1519999999999999</v>
      </c>
      <c r="O21">
        <f>'Matrices Costo Directo'!N303</f>
        <v>0.38400000000000001</v>
      </c>
      <c r="P21">
        <f>'Matrices Costo Directo'!L332</f>
        <v>2.57328</v>
      </c>
      <c r="Q21">
        <f>'Matrices Costo Directo'!L195</f>
        <v>1.0233599999999998</v>
      </c>
    </row>
    <row r="22" spans="1:20" x14ac:dyDescent="0.25">
      <c r="A22" s="93" t="str">
        <f>Materiales!A25</f>
        <v xml:space="preserve">ARENA </v>
      </c>
      <c r="B22" s="9" t="s">
        <v>23</v>
      </c>
      <c r="F22" s="3">
        <f>'Matrices Costo Directo'!L94</f>
        <v>1.9060999999999999</v>
      </c>
      <c r="H22">
        <f>'Matrices Costo Directo'!M116</f>
        <v>5.4685800000000002</v>
      </c>
      <c r="I22">
        <f>'Matrices Costo Directo'!N116</f>
        <v>4.55715</v>
      </c>
      <c r="K22">
        <f>'Matrices Costo Directo'!M253</f>
        <v>0.94049999999999989</v>
      </c>
      <c r="L22">
        <f>'Matrices Costo Directo'!N253</f>
        <v>0.627</v>
      </c>
      <c r="M22">
        <f>'Matrices Costo Directo'!L279</f>
        <v>0.51300000000000001</v>
      </c>
      <c r="N22">
        <f>'Matrices Costo Directo'!M304</f>
        <v>2.052</v>
      </c>
      <c r="O22">
        <f>'Matrices Costo Directo'!N304</f>
        <v>0.68399999999999994</v>
      </c>
      <c r="P22">
        <f>'Matrices Costo Directo'!L333</f>
        <v>4.1507999999999994</v>
      </c>
      <c r="Q22">
        <f>'Matrices Costo Directo'!L196</f>
        <v>1.8228599999999999</v>
      </c>
    </row>
    <row r="23" spans="1:20" x14ac:dyDescent="0.25">
      <c r="A23" s="93" t="str">
        <f>Materiales!A26</f>
        <v>GRAVA</v>
      </c>
      <c r="B23" s="9" t="s">
        <v>23</v>
      </c>
      <c r="F23" s="3">
        <f>'Matrices Costo Directo'!L95</f>
        <v>3.4602750000000002</v>
      </c>
      <c r="H23">
        <f>'Matrices Costo Directo'!M117</f>
        <v>6.5239200000000013</v>
      </c>
      <c r="I23">
        <f>'Matrices Costo Directo'!N117</f>
        <v>5.4366000000000003</v>
      </c>
      <c r="K23">
        <f>'Matrices Costo Directo'!M254</f>
        <v>1.1220000000000001</v>
      </c>
      <c r="L23">
        <f>'Matrices Costo Directo'!N254</f>
        <v>0.748</v>
      </c>
      <c r="M23">
        <f>'Matrices Costo Directo'!L280</f>
        <v>0.61199999999999999</v>
      </c>
      <c r="N23">
        <f>'Matrices Costo Directo'!M305</f>
        <v>2.448</v>
      </c>
      <c r="O23">
        <f>'Matrices Costo Directo'!N305</f>
        <v>0.81600000000000006</v>
      </c>
      <c r="P23">
        <f>'Matrices Costo Directo'!L334</f>
        <v>6.5871000000000013</v>
      </c>
      <c r="Q23">
        <f>'Matrices Costo Directo'!L197</f>
        <v>2.1746400000000001</v>
      </c>
    </row>
    <row r="24" spans="1:20" x14ac:dyDescent="0.25">
      <c r="A24" s="93" t="str">
        <f>Materiales!A28</f>
        <v>AGUA</v>
      </c>
      <c r="B24" s="9" t="s">
        <v>23</v>
      </c>
      <c r="F24" s="3">
        <f>'Matrices Costo Directo'!J103</f>
        <v>4.0600000000000004E-2</v>
      </c>
      <c r="H24">
        <f>'Matrices Costo Directo'!N118</f>
        <v>9.5939999999999998E-2</v>
      </c>
      <c r="I24">
        <f>'Matrices Costo Directo'!N119</f>
        <v>7.9950000000000007E-2</v>
      </c>
      <c r="K24">
        <v>0.3</v>
      </c>
      <c r="L24">
        <f>K24</f>
        <v>0.3</v>
      </c>
      <c r="M24">
        <f>'Matrices Costo Directo'!K255</f>
        <v>1.6499999999999997E-2</v>
      </c>
      <c r="N24">
        <f>'Matrices Costo Directo'!L255</f>
        <v>1.0999999999999998E-2</v>
      </c>
      <c r="O24">
        <f>'Matrices Costo Directo'!K281</f>
        <v>8.9999999999999993E-3</v>
      </c>
      <c r="P24">
        <f>O24+O24</f>
        <v>1.7999999999999999E-2</v>
      </c>
      <c r="Q24">
        <f>'Matrices Costo Directo'!K335</f>
        <v>9.3590639999999989E-2</v>
      </c>
    </row>
    <row r="25" spans="1:20" x14ac:dyDescent="0.25">
      <c r="A25" s="93" t="str">
        <f>Materiales!A9</f>
        <v>VARILLA 3/8</v>
      </c>
      <c r="B25" s="9" t="s">
        <v>34</v>
      </c>
      <c r="H25">
        <f>'Matrices Costo Directo'!J122/2</f>
        <v>40.309999999999995</v>
      </c>
      <c r="I25">
        <f>H25</f>
        <v>40.309999999999995</v>
      </c>
      <c r="L25" s="3">
        <v>50</v>
      </c>
      <c r="M25" s="23">
        <v>14</v>
      </c>
      <c r="N25">
        <v>20</v>
      </c>
    </row>
    <row r="26" spans="1:20" x14ac:dyDescent="0.25">
      <c r="A26" s="93" t="str">
        <f>Materiales!A23</f>
        <v>TABIQUE ROJO 6X12X24</v>
      </c>
      <c r="B26" s="9" t="s">
        <v>477</v>
      </c>
      <c r="K26" s="3">
        <f>'Matrices Costo Directo'!J238/2</f>
        <v>4.0261437908496731</v>
      </c>
      <c r="L26">
        <f>K26</f>
        <v>4.0261437908496731</v>
      </c>
    </row>
    <row r="27" spans="1:20" x14ac:dyDescent="0.25">
      <c r="A27" s="93" t="str">
        <f>Materiales!A20</f>
        <v>CLAVO 2"</v>
      </c>
      <c r="B27" s="9" t="s">
        <v>494</v>
      </c>
      <c r="F27" s="3">
        <f>'Matrices Costo Directo'!I126</f>
        <v>2.4185999999999996</v>
      </c>
      <c r="M27" s="3">
        <v>2</v>
      </c>
      <c r="P27" s="3">
        <v>1</v>
      </c>
      <c r="Q27" s="3">
        <f>'Matrices Costo Directo'!I206</f>
        <v>1.6521999999999999</v>
      </c>
    </row>
    <row r="28" spans="1:20" x14ac:dyDescent="0.25">
      <c r="A28" s="93" t="str">
        <f>Materiales!A18</f>
        <v>ALAMBRE RECOCIDO</v>
      </c>
      <c r="B28" s="9" t="s">
        <v>219</v>
      </c>
      <c r="F28" s="3">
        <f>'Matrices Costo Directo'!I125</f>
        <v>120.92999999999999</v>
      </c>
      <c r="M28" s="91">
        <f>'Matrices Costo Directo'!J259</f>
        <v>78.333333333333329</v>
      </c>
      <c r="N28" s="91">
        <f>'Matrices Costo Directo'!J274</f>
        <v>15</v>
      </c>
      <c r="Q28" s="3">
        <f>'Matrices Costo Directo'!H189</f>
        <v>82.61</v>
      </c>
    </row>
    <row r="29" spans="1:20" x14ac:dyDescent="0.25">
      <c r="A29" s="93" t="str">
        <f>Materiales!A19</f>
        <v>ALAMBRON</v>
      </c>
      <c r="B29" s="9" t="s">
        <v>219</v>
      </c>
      <c r="F29">
        <f>'Matrices Costo Directo'!J127</f>
        <v>805.39379999999994</v>
      </c>
      <c r="M29" s="3">
        <f>'Matrices Costo Directo'!K262</f>
        <v>705</v>
      </c>
      <c r="N29" s="3">
        <v>190.4</v>
      </c>
    </row>
    <row r="30" spans="1:20" x14ac:dyDescent="0.25">
      <c r="A30" s="93" t="str">
        <f>Materiales!A15</f>
        <v>PEGAZULEJO NIASA</v>
      </c>
      <c r="B30" s="9" t="s">
        <v>476</v>
      </c>
      <c r="R30" s="3">
        <v>10</v>
      </c>
    </row>
    <row r="31" spans="1:20" x14ac:dyDescent="0.25">
      <c r="A31" s="93" t="s">
        <v>465</v>
      </c>
      <c r="B31" s="9" t="s">
        <v>34</v>
      </c>
      <c r="F31">
        <v>120</v>
      </c>
    </row>
    <row r="32" spans="1:20" x14ac:dyDescent="0.25">
      <c r="A32" s="93" t="s">
        <v>463</v>
      </c>
      <c r="B32" s="9" t="s">
        <v>34</v>
      </c>
      <c r="M32" s="3">
        <v>32</v>
      </c>
    </row>
    <row r="33" spans="1:19" x14ac:dyDescent="0.25">
      <c r="A33" s="93" t="s">
        <v>464</v>
      </c>
      <c r="B33" s="9" t="s">
        <v>34</v>
      </c>
      <c r="R33" s="3">
        <v>350</v>
      </c>
    </row>
    <row r="34" spans="1:19" x14ac:dyDescent="0.25">
      <c r="A34" s="93" t="s">
        <v>466</v>
      </c>
      <c r="B34" s="9" t="s">
        <v>34</v>
      </c>
      <c r="J34" s="3">
        <v>1</v>
      </c>
      <c r="S34" s="3">
        <v>1</v>
      </c>
    </row>
    <row r="35" spans="1:19" x14ac:dyDescent="0.25">
      <c r="A35" s="93" t="str">
        <f>Materiales!A49</f>
        <v xml:space="preserve">TUBO PVC 4'' </v>
      </c>
      <c r="B35" s="9" t="s">
        <v>34</v>
      </c>
      <c r="E35" s="3">
        <v>2.2000000000000002</v>
      </c>
    </row>
    <row r="36" spans="1:19" x14ac:dyDescent="0.25">
      <c r="A36" s="93" t="str">
        <f>Materiales!A48</f>
        <v>CODO PVC 4'' X90</v>
      </c>
      <c r="B36" s="9" t="s">
        <v>34</v>
      </c>
      <c r="E36" s="3">
        <v>3</v>
      </c>
    </row>
    <row r="37" spans="1:19" x14ac:dyDescent="0.25">
      <c r="A37" s="93" t="str">
        <f>Materiales!A46</f>
        <v>YEE PVC4''</v>
      </c>
      <c r="B37" s="9" t="s">
        <v>34</v>
      </c>
      <c r="E37" s="3">
        <v>1</v>
      </c>
    </row>
    <row r="38" spans="1:19" x14ac:dyDescent="0.25">
      <c r="A38" s="93" t="str">
        <f>Materiales!A45</f>
        <v>TEE PVC 4''</v>
      </c>
      <c r="B38" s="9" t="s">
        <v>34</v>
      </c>
      <c r="E38" s="3">
        <v>1</v>
      </c>
    </row>
    <row r="39" spans="1:19" x14ac:dyDescent="0.25">
      <c r="A39" s="93" t="str">
        <f>Materiales!A27</f>
        <v>MALLA ELECTRO SOLDADA 6.6/10.10</v>
      </c>
      <c r="B39" s="9" t="s">
        <v>15</v>
      </c>
      <c r="Q39" s="3">
        <v>59.79</v>
      </c>
    </row>
    <row r="40" spans="1:19" x14ac:dyDescent="0.25">
      <c r="A40" s="102" t="str">
        <f>Materiales!A43</f>
        <v>LOSETA LAMOSA 44X44 CAFÉ LINIA1QS</v>
      </c>
      <c r="B40" s="9" t="s">
        <v>494</v>
      </c>
      <c r="Q40" s="3">
        <v>28</v>
      </c>
    </row>
    <row r="41" spans="1:19" x14ac:dyDescent="0.25">
      <c r="A41" s="93" t="str">
        <f>Materiales!A44</f>
        <v>LOSETA LAMOSA 44X44 BEIGE LCERA1O7</v>
      </c>
      <c r="B41" s="9" t="s">
        <v>494</v>
      </c>
      <c r="Q41" s="3">
        <v>8</v>
      </c>
    </row>
    <row r="42" spans="1:19" ht="30" x14ac:dyDescent="0.25">
      <c r="A42" s="100" t="str">
        <f>Materiales!A60</f>
        <v>VENTANA DE PERFIL COLOR HUMO, CON VIDRIO DE 3MM DE .90X1.20</v>
      </c>
      <c r="B42" s="9" t="s">
        <v>34</v>
      </c>
      <c r="R42" s="3">
        <v>7</v>
      </c>
    </row>
    <row r="43" spans="1:19" ht="30" x14ac:dyDescent="0.25">
      <c r="A43" s="100" t="str">
        <f>Materiales!A61</f>
        <v>VENTANA DE PERFIL COLOR HUMO, CON VIDRIO DE 3MM DE .90X.60</v>
      </c>
      <c r="B43" s="9" t="s">
        <v>34</v>
      </c>
      <c r="R43" s="3">
        <v>2</v>
      </c>
    </row>
    <row r="44" spans="1:19" ht="30" x14ac:dyDescent="0.25">
      <c r="A44" s="100" t="str">
        <f>Materiales!A52</f>
        <v>W.C. MARCA CASTEL MODELO ZEUZ COLOR HUESO</v>
      </c>
      <c r="B44" s="9" t="s">
        <v>34</v>
      </c>
      <c r="S44" s="3">
        <v>1</v>
      </c>
    </row>
    <row r="45" spans="1:19" ht="45" x14ac:dyDescent="0.25">
      <c r="A45" s="100" t="str">
        <f>Materiales!A53</f>
        <v>LAVABO AMERICAN STÁNDAR MODELO HABITATCOLOR HUESO INCLUYE LLAVES Y PEDESTAL</v>
      </c>
      <c r="B45" s="9" t="s">
        <v>34</v>
      </c>
      <c r="S45" s="3">
        <v>1</v>
      </c>
    </row>
    <row r="46" spans="1:19" ht="45" x14ac:dyDescent="0.25">
      <c r="A46" s="100" t="str">
        <f>Materiales!A54</f>
        <v>COCINA INTEGRAL MARCA READY KITCHEN PAQUETE DE COCINA BLANCA MODELO PK240P7-WH.  </v>
      </c>
      <c r="B46" s="9" t="s">
        <v>34</v>
      </c>
      <c r="S46" s="3">
        <v>1</v>
      </c>
    </row>
    <row r="47" spans="1:19" ht="30" x14ac:dyDescent="0.25">
      <c r="A47" s="100" t="str">
        <f>Materiales!A55</f>
        <v>TINACO ROTOPLAS DE 1100LT INCLUYE ACCESORIOS</v>
      </c>
      <c r="B47" s="9" t="s">
        <v>34</v>
      </c>
      <c r="S47" s="3">
        <v>1</v>
      </c>
    </row>
    <row r="48" spans="1:19" x14ac:dyDescent="0.25">
      <c r="A48" s="100" t="str">
        <f>Materiales!A56</f>
        <v>CALENTADOR DE PASO CALOREX DE 6LT</v>
      </c>
      <c r="B48" s="9" t="s">
        <v>34</v>
      </c>
      <c r="S48" s="3">
        <v>1</v>
      </c>
    </row>
    <row r="49" spans="1:20" ht="30" x14ac:dyDescent="0.25">
      <c r="A49" s="100" t="str">
        <f>Materiales!A57</f>
        <v>PUERTA MARCA PUERTAS INFINITY MODELO MADRID CEREZO .90X2.10 Y .80X2.10</v>
      </c>
      <c r="B49" s="9" t="s">
        <v>34</v>
      </c>
      <c r="T49" s="3">
        <v>2</v>
      </c>
    </row>
    <row r="50" spans="1:20" x14ac:dyDescent="0.25">
      <c r="A50" s="100" t="str">
        <f>Materiales!A58</f>
        <v>PUERTA HECHA A LA MEDIDA DE 1.5X2.1</v>
      </c>
      <c r="B50" s="9" t="s">
        <v>34</v>
      </c>
      <c r="S50" s="3">
        <v>1</v>
      </c>
    </row>
    <row r="51" spans="1:20" ht="30" x14ac:dyDescent="0.25">
      <c r="A51" s="100" t="str">
        <f>Materiales!A59</f>
        <v>MANIJA GOLDEN NÍQUEL SATÍN MARCA DEFIANT</v>
      </c>
      <c r="B51" s="9" t="s">
        <v>34</v>
      </c>
      <c r="S51" s="3"/>
      <c r="T51" s="3">
        <v>3</v>
      </c>
    </row>
    <row r="52" spans="1:20" x14ac:dyDescent="0.25">
      <c r="A52" s="93" t="str">
        <f>Materiales!A62</f>
        <v>MACETAS DE BARRO CON PALMAS</v>
      </c>
      <c r="B52" s="9" t="s">
        <v>34</v>
      </c>
      <c r="T52" s="3">
        <v>2</v>
      </c>
    </row>
    <row r="53" spans="1:20" x14ac:dyDescent="0.25">
      <c r="A53" s="100" t="str">
        <f>'Matrices Costo Directo'!D452</f>
        <v>IMPERMEABILIZANTE FESTER ACRITON 6AÑOS</v>
      </c>
      <c r="B53" s="9" t="s">
        <v>495</v>
      </c>
      <c r="Q53" s="3">
        <v>2</v>
      </c>
    </row>
    <row r="54" spans="1:20" x14ac:dyDescent="0.25">
      <c r="A54" s="93" t="str">
        <f>'Matrices Costo Directo'!D467</f>
        <v>TUBO DE COBRE 1/2 TIPO M</v>
      </c>
      <c r="B54" s="9" t="s">
        <v>34</v>
      </c>
      <c r="Q54" s="3">
        <v>5</v>
      </c>
    </row>
    <row r="55" spans="1:20" x14ac:dyDescent="0.25">
      <c r="A55" s="93" t="str">
        <f>'Matrices Costo Directo'!D468</f>
        <v>LIJA</v>
      </c>
      <c r="B55" s="9" t="s">
        <v>139</v>
      </c>
      <c r="Q55" s="3">
        <v>4</v>
      </c>
    </row>
    <row r="56" spans="1:20" x14ac:dyDescent="0.25">
      <c r="A56" s="93" t="str">
        <f>'Matrices Costo Directo'!D469</f>
        <v>PASTA PARA SOLDAR 16 G</v>
      </c>
      <c r="B56" s="9" t="s">
        <v>34</v>
      </c>
      <c r="Q56" s="3">
        <v>4</v>
      </c>
    </row>
    <row r="57" spans="1:20" x14ac:dyDescent="0.25">
      <c r="A57" s="93" t="str">
        <f>'Matrices Costo Directo'!D470</f>
        <v>SOLDADURA PARA AGUA</v>
      </c>
      <c r="B57" s="9" t="s">
        <v>34</v>
      </c>
      <c r="Q57" s="3">
        <v>1</v>
      </c>
    </row>
    <row r="58" spans="1:20" x14ac:dyDescent="0.25">
      <c r="A58" s="93" t="str">
        <f>'Matrices Costo Directo'!D471</f>
        <v>CODO DE COBRE 1/2''X90</v>
      </c>
      <c r="B58" s="9" t="s">
        <v>34</v>
      </c>
      <c r="Q58" s="3">
        <v>16</v>
      </c>
    </row>
    <row r="59" spans="1:20" x14ac:dyDescent="0.25">
      <c r="A59" s="93" t="str">
        <f>'Matrices Costo Directo'!D489</f>
        <v>TEE DE COBRE 1/2''X90</v>
      </c>
      <c r="B59" s="9" t="s">
        <v>34</v>
      </c>
      <c r="Q59" s="3">
        <v>2</v>
      </c>
    </row>
    <row r="60" spans="1:20" x14ac:dyDescent="0.25">
      <c r="A60" s="93" t="str">
        <f>'Matrices Costo Directo'!D553</f>
        <v>CABLE IUSA #12</v>
      </c>
      <c r="B60" s="9" t="s">
        <v>262</v>
      </c>
      <c r="Q60" s="3">
        <v>2</v>
      </c>
    </row>
    <row r="61" spans="1:20" x14ac:dyDescent="0.25">
      <c r="A61" s="93" t="str">
        <f>'Matrices Costo Directo'!D554</f>
        <v>MANGUERA POLIFLEX 1/2</v>
      </c>
      <c r="B61" s="9" t="s">
        <v>262</v>
      </c>
      <c r="Q61" s="3">
        <v>2</v>
      </c>
    </row>
    <row r="62" spans="1:20" x14ac:dyDescent="0.25">
      <c r="A62" s="93" t="str">
        <f>'Matrices Costo Directo'!D555</f>
        <v>CHALUPA</v>
      </c>
      <c r="B62" s="9" t="s">
        <v>34</v>
      </c>
      <c r="Q62" s="3">
        <v>17</v>
      </c>
    </row>
    <row r="63" spans="1:20" x14ac:dyDescent="0.25">
      <c r="A63" s="93" t="str">
        <f>'Matrices Costo Directo'!D556</f>
        <v>TAPA BTICINO MODUS 1 VENTANA</v>
      </c>
      <c r="B63" s="9" t="s">
        <v>34</v>
      </c>
      <c r="Q63" s="3">
        <v>8</v>
      </c>
    </row>
    <row r="64" spans="1:20" x14ac:dyDescent="0.25">
      <c r="A64" s="93" t="str">
        <f>Materiales!A128</f>
        <v>CONTACTO MODUS</v>
      </c>
      <c r="B64" s="9" t="s">
        <v>34</v>
      </c>
      <c r="Q64" s="3">
        <v>18</v>
      </c>
    </row>
    <row r="65" spans="1:20" x14ac:dyDescent="0.25">
      <c r="A65" s="93" t="str">
        <f>'Matrices Costo Directo'!D557</f>
        <v>APAGADOR MODUS</v>
      </c>
      <c r="B65" s="9" t="s">
        <v>34</v>
      </c>
      <c r="Q65" s="3">
        <v>8</v>
      </c>
    </row>
    <row r="66" spans="1:20" x14ac:dyDescent="0.25">
      <c r="A66" s="93" t="str">
        <f>'Matrices Costo Directo'!D558</f>
        <v>CINTA DE AISLAR NITTO</v>
      </c>
      <c r="B66" s="9" t="s">
        <v>34</v>
      </c>
      <c r="Q66" s="3">
        <v>2</v>
      </c>
    </row>
    <row r="67" spans="1:20" x14ac:dyDescent="0.25">
      <c r="A67" s="93" t="str">
        <f>'Matrices Costo Directo'!D571</f>
        <v>TAPA BTICINO MODUS 2 VENTANAS</v>
      </c>
      <c r="B67" s="9" t="s">
        <v>34</v>
      </c>
      <c r="Q67" s="3">
        <v>9</v>
      </c>
    </row>
    <row r="68" spans="1:20" x14ac:dyDescent="0.25">
      <c r="A68" s="93" t="str">
        <f>Materiales!A122</f>
        <v>SOQUET REDONDO</v>
      </c>
      <c r="B68" s="9" t="s">
        <v>34</v>
      </c>
      <c r="Q68" s="3">
        <v>11</v>
      </c>
    </row>
    <row r="69" spans="1:20" x14ac:dyDescent="0.25">
      <c r="A69" s="93" t="str">
        <f>'Matrices Costo Directo'!D631</f>
        <v>SELLADOR 1X5 COMEX</v>
      </c>
      <c r="B69" s="9" t="s">
        <v>495</v>
      </c>
      <c r="T69" s="91">
        <v>2</v>
      </c>
    </row>
    <row r="70" spans="1:20" ht="30" x14ac:dyDescent="0.25">
      <c r="A70" s="100" t="str">
        <f>'Matrices Costo Directo'!D642</f>
        <v>PINTURA COMEX BLANCO AMANECER EASY CLEAN</v>
      </c>
      <c r="B70" s="9" t="s">
        <v>495</v>
      </c>
      <c r="T70" s="91">
        <v>2</v>
      </c>
    </row>
    <row r="71" spans="1:20" ht="30" x14ac:dyDescent="0.25">
      <c r="A71" s="101" t="s">
        <v>493</v>
      </c>
      <c r="B71" s="9" t="s">
        <v>34</v>
      </c>
      <c r="T71" s="3">
        <v>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0"/>
  <sheetViews>
    <sheetView tabSelected="1" topLeftCell="A71" zoomScale="93" zoomScaleNormal="93" workbookViewId="0">
      <selection activeCell="D96" sqref="D96"/>
    </sheetView>
  </sheetViews>
  <sheetFormatPr baseColWidth="10" defaultRowHeight="15" x14ac:dyDescent="0.25"/>
  <cols>
    <col min="1" max="1" width="14.140625" customWidth="1"/>
    <col min="2" max="2" width="14.28515625" customWidth="1"/>
    <col min="4" max="4" width="52.85546875" customWidth="1"/>
    <col min="5" max="5" width="13.140625" bestFit="1" customWidth="1"/>
    <col min="7" max="7" width="14.85546875" customWidth="1"/>
    <col min="8" max="8" width="16.7109375" customWidth="1"/>
    <col min="9" max="9" width="12.28515625" customWidth="1"/>
    <col min="10" max="10" width="19.42578125" customWidth="1"/>
    <col min="11" max="11" width="13.42578125" customWidth="1"/>
  </cols>
  <sheetData>
    <row r="1" spans="1:12" ht="33.75" x14ac:dyDescent="0.5">
      <c r="A1" s="168"/>
      <c r="B1" s="168"/>
      <c r="C1" s="168"/>
      <c r="D1" s="168"/>
      <c r="E1" s="168"/>
      <c r="F1" s="168"/>
      <c r="G1" s="168"/>
      <c r="H1" s="168"/>
    </row>
    <row r="2" spans="1:12" ht="23.25" x14ac:dyDescent="0.35">
      <c r="A2" s="151" t="s">
        <v>543</v>
      </c>
      <c r="B2" s="151"/>
      <c r="C2" s="151"/>
      <c r="D2" s="151"/>
      <c r="E2" s="151"/>
      <c r="F2" s="151"/>
      <c r="G2" s="151"/>
      <c r="H2" s="151"/>
    </row>
    <row r="3" spans="1:12" x14ac:dyDescent="0.25">
      <c r="A3" s="152" t="s">
        <v>544</v>
      </c>
      <c r="B3" s="152"/>
      <c r="C3" s="152"/>
      <c r="D3" s="152"/>
      <c r="E3" s="152"/>
      <c r="F3" s="152"/>
      <c r="G3" s="152"/>
      <c r="H3" s="152"/>
    </row>
    <row r="4" spans="1:12" x14ac:dyDescent="0.25">
      <c r="A4" s="153" t="s">
        <v>545</v>
      </c>
      <c r="B4" s="153"/>
      <c r="C4" s="153"/>
      <c r="D4" s="153"/>
      <c r="E4" s="153"/>
      <c r="F4" s="153"/>
      <c r="G4" s="153"/>
      <c r="H4" s="153"/>
    </row>
    <row r="5" spans="1:12" x14ac:dyDescent="0.25">
      <c r="A5" s="155" t="s">
        <v>546</v>
      </c>
      <c r="B5" s="156"/>
      <c r="C5" s="156"/>
      <c r="D5" s="156"/>
      <c r="E5" s="156"/>
      <c r="F5" s="156"/>
      <c r="G5" s="156"/>
      <c r="H5" s="157"/>
    </row>
    <row r="6" spans="1:12" s="28" customFormat="1" x14ac:dyDescent="0.25">
      <c r="A6" s="159" t="s">
        <v>13</v>
      </c>
      <c r="B6" s="159"/>
      <c r="C6" s="159"/>
      <c r="D6" s="159"/>
      <c r="E6" s="159"/>
      <c r="F6" s="159"/>
      <c r="G6" s="159"/>
      <c r="H6" s="159"/>
      <c r="I6" s="68"/>
      <c r="J6" s="68"/>
      <c r="K6" s="68"/>
      <c r="L6" s="68"/>
    </row>
    <row r="7" spans="1:12" x14ac:dyDescent="0.25">
      <c r="A7" s="71"/>
      <c r="B7" s="71" t="str">
        <f>'Generador de obra'!B7</f>
        <v>Registro de manifestacion de construccion tipo A</v>
      </c>
      <c r="C7" s="71"/>
      <c r="D7" s="71"/>
      <c r="E7" s="68"/>
      <c r="F7" s="68"/>
      <c r="G7" t="s">
        <v>11</v>
      </c>
      <c r="H7" s="68" t="str">
        <f>'Generador de obra'!K7</f>
        <v>Registro</v>
      </c>
      <c r="I7" s="68"/>
      <c r="J7" s="68"/>
      <c r="K7" s="68"/>
      <c r="L7" s="68"/>
    </row>
    <row r="8" spans="1:12" x14ac:dyDescent="0.25">
      <c r="A8" s="71"/>
      <c r="B8" s="71"/>
      <c r="C8" s="71"/>
      <c r="D8" s="71"/>
      <c r="E8" s="68"/>
      <c r="F8" s="68"/>
      <c r="G8" t="s">
        <v>75</v>
      </c>
      <c r="H8" s="72">
        <f>'Generador de obra'!J7</f>
        <v>275.5</v>
      </c>
      <c r="I8" s="68"/>
      <c r="J8" s="68"/>
      <c r="K8" s="68"/>
      <c r="L8" s="68"/>
    </row>
    <row r="9" spans="1:12" x14ac:dyDescent="0.25">
      <c r="A9" s="71"/>
      <c r="B9" s="71"/>
      <c r="C9" s="71"/>
      <c r="D9" s="71"/>
      <c r="E9" s="68"/>
      <c r="F9" s="68"/>
      <c r="G9" t="s">
        <v>76</v>
      </c>
      <c r="H9" s="72">
        <f>H8</f>
        <v>275.5</v>
      </c>
      <c r="I9" s="68"/>
      <c r="J9" s="68"/>
      <c r="K9" s="68"/>
      <c r="L9" s="68"/>
    </row>
    <row r="10" spans="1:12" x14ac:dyDescent="0.25">
      <c r="A10" s="71"/>
      <c r="B10" s="71"/>
      <c r="C10" s="71"/>
      <c r="D10" s="71"/>
      <c r="E10" s="68"/>
      <c r="F10" s="68"/>
      <c r="G10" t="s">
        <v>12</v>
      </c>
      <c r="H10" s="73">
        <f>H9</f>
        <v>275.5</v>
      </c>
      <c r="I10" s="68"/>
      <c r="J10" s="68"/>
      <c r="K10" s="68"/>
      <c r="L10" s="68"/>
    </row>
    <row r="11" spans="1:12" x14ac:dyDescent="0.25">
      <c r="A11" s="68"/>
      <c r="B11" s="28"/>
      <c r="C11" s="28"/>
      <c r="D11" s="28"/>
      <c r="E11" s="28"/>
      <c r="F11" s="28"/>
      <c r="G11" s="28"/>
      <c r="H11" s="28"/>
      <c r="I11" s="68"/>
      <c r="J11" s="68"/>
      <c r="K11" s="68"/>
      <c r="L11" s="68"/>
    </row>
    <row r="12" spans="1:12" x14ac:dyDescent="0.25">
      <c r="A12" s="71"/>
      <c r="B12" s="150" t="str">
        <f>'Generador de obra'!B8</f>
        <v xml:space="preserve">Analisis de estudio por m² </v>
      </c>
      <c r="C12" s="150"/>
      <c r="D12" s="150"/>
      <c r="E12" s="68"/>
      <c r="F12" s="68"/>
      <c r="G12" t="s">
        <v>11</v>
      </c>
      <c r="H12" s="68" t="str">
        <f>'Generador de obra'!K8</f>
        <v>Pesos</v>
      </c>
      <c r="I12" s="68"/>
      <c r="J12" s="68"/>
      <c r="K12" s="68"/>
      <c r="L12" s="68"/>
    </row>
    <row r="13" spans="1:12" x14ac:dyDescent="0.25">
      <c r="A13" s="71"/>
      <c r="B13" s="150"/>
      <c r="C13" s="150"/>
      <c r="D13" s="150"/>
      <c r="E13" s="68"/>
      <c r="F13" s="68"/>
      <c r="G13" t="s">
        <v>75</v>
      </c>
      <c r="H13" s="75">
        <f>'Generador de obra'!J10</f>
        <v>300.19</v>
      </c>
      <c r="I13" s="68"/>
      <c r="J13" s="68"/>
      <c r="K13" s="68"/>
      <c r="L13" s="68"/>
    </row>
    <row r="14" spans="1:12" x14ac:dyDescent="0.25">
      <c r="A14" s="71"/>
      <c r="B14" s="150"/>
      <c r="C14" s="150"/>
      <c r="D14" s="150"/>
      <c r="E14" s="68"/>
      <c r="F14" s="68"/>
      <c r="G14" t="s">
        <v>76</v>
      </c>
      <c r="H14" s="68">
        <f>'Generador de obra'!I8</f>
        <v>14.04</v>
      </c>
      <c r="I14" s="68"/>
      <c r="J14" s="68"/>
      <c r="K14" s="68"/>
      <c r="L14" s="68"/>
    </row>
    <row r="15" spans="1:12" x14ac:dyDescent="0.25">
      <c r="A15" s="71"/>
      <c r="B15" s="150"/>
      <c r="C15" s="150"/>
      <c r="D15" s="150"/>
      <c r="E15" s="68"/>
      <c r="F15" s="68"/>
      <c r="G15" t="s">
        <v>12</v>
      </c>
      <c r="H15" s="76">
        <f>H13*H14</f>
        <v>4214.6675999999998</v>
      </c>
      <c r="I15" s="68"/>
      <c r="J15" s="68"/>
      <c r="K15" s="68"/>
      <c r="L15" s="68"/>
    </row>
    <row r="16" spans="1:12" x14ac:dyDescent="0.25">
      <c r="A16" s="68"/>
      <c r="B16" s="68"/>
      <c r="C16" s="68"/>
      <c r="D16" s="68"/>
      <c r="E16" s="68"/>
      <c r="F16" s="68"/>
      <c r="G16" s="68"/>
      <c r="H16" s="68"/>
      <c r="I16" s="68"/>
      <c r="J16" s="68"/>
      <c r="K16" s="68"/>
      <c r="L16" s="68"/>
    </row>
    <row r="17" spans="1:8" x14ac:dyDescent="0.25">
      <c r="A17" s="6"/>
      <c r="B17" s="150" t="str">
        <f>'Generador de obra'!B10</f>
        <v>Limpieza: Limpieza y desempalme del terreno incluye mano de obra herramienta, limpieza de basura y acarreo.</v>
      </c>
      <c r="C17" s="150"/>
      <c r="D17" s="150"/>
      <c r="G17" t="s">
        <v>11</v>
      </c>
      <c r="H17" s="22" t="str">
        <f>'Generador de obra'!K10</f>
        <v>M²</v>
      </c>
    </row>
    <row r="18" spans="1:8" x14ac:dyDescent="0.25">
      <c r="A18" s="2"/>
      <c r="B18" s="150"/>
      <c r="C18" s="150"/>
      <c r="D18" s="150"/>
      <c r="G18" t="s">
        <v>75</v>
      </c>
      <c r="H18">
        <f>'Generador de obra'!J10</f>
        <v>300.19</v>
      </c>
    </row>
    <row r="19" spans="1:8" x14ac:dyDescent="0.25">
      <c r="A19" s="6"/>
      <c r="B19" s="150"/>
      <c r="C19" s="150"/>
      <c r="D19" s="150"/>
      <c r="G19" t="s">
        <v>76</v>
      </c>
      <c r="H19" s="35">
        <v>7</v>
      </c>
    </row>
    <row r="20" spans="1:8" x14ac:dyDescent="0.25">
      <c r="A20" s="2"/>
      <c r="B20" s="150"/>
      <c r="C20" s="150"/>
      <c r="D20" s="150"/>
      <c r="G20" t="s">
        <v>12</v>
      </c>
      <c r="H20" s="42">
        <f>H18*H19</f>
        <v>2101.33</v>
      </c>
    </row>
    <row r="21" spans="1:8" x14ac:dyDescent="0.25">
      <c r="A21" s="136"/>
      <c r="B21" s="136" t="s">
        <v>2</v>
      </c>
      <c r="C21" s="136"/>
      <c r="D21" s="136" t="s">
        <v>79</v>
      </c>
      <c r="E21" s="136" t="s">
        <v>11</v>
      </c>
      <c r="F21" s="136" t="s">
        <v>75</v>
      </c>
      <c r="G21" s="136" t="s">
        <v>76</v>
      </c>
      <c r="H21" s="136" t="s">
        <v>12</v>
      </c>
    </row>
    <row r="22" spans="1:8" x14ac:dyDescent="0.25">
      <c r="B22" s="33" t="s">
        <v>129</v>
      </c>
    </row>
    <row r="24" spans="1:8" x14ac:dyDescent="0.25">
      <c r="B24" s="40" t="s">
        <v>132</v>
      </c>
      <c r="C24" t="s">
        <v>89</v>
      </c>
      <c r="D24" s="8" t="str">
        <f>'Mano de Obra'!A4</f>
        <v>Limpieza del terreno  incluye mano de obra y herramienta</v>
      </c>
      <c r="E24" t="str">
        <f>'Mano de Obra'!B4</f>
        <v>M²</v>
      </c>
      <c r="F24">
        <f>'Generador de obra'!J10</f>
        <v>300.19</v>
      </c>
      <c r="G24" s="42">
        <f>'Mano de Obra'!C4</f>
        <v>12</v>
      </c>
      <c r="H24" s="42">
        <f>F24*G24</f>
        <v>3602.2799999999997</v>
      </c>
    </row>
    <row r="26" spans="1:8" x14ac:dyDescent="0.25">
      <c r="A26" s="24"/>
      <c r="B26" s="150" t="str">
        <f>'Generador de obra'!B14</f>
        <v>Trazo y nivelacion del terreno: Estableciendo ejes y referencias,nivel incluye herramienta, mano de obra,equipo y retiro</v>
      </c>
      <c r="C26" s="150"/>
      <c r="D26" s="150"/>
      <c r="G26" t="s">
        <v>11</v>
      </c>
      <c r="H26" s="22" t="str">
        <f>H17</f>
        <v>M²</v>
      </c>
    </row>
    <row r="27" spans="1:8" x14ac:dyDescent="0.25">
      <c r="A27" s="24"/>
      <c r="B27" s="150"/>
      <c r="C27" s="150"/>
      <c r="D27" s="150"/>
      <c r="G27" t="s">
        <v>75</v>
      </c>
      <c r="H27" s="8">
        <f>'Generador de obra'!J14</f>
        <v>300.19</v>
      </c>
    </row>
    <row r="28" spans="1:8" x14ac:dyDescent="0.25">
      <c r="A28" s="24"/>
      <c r="B28" s="150"/>
      <c r="C28" s="150"/>
      <c r="D28" s="150"/>
      <c r="G28" t="s">
        <v>76</v>
      </c>
      <c r="H28" s="35">
        <f>G33</f>
        <v>12</v>
      </c>
    </row>
    <row r="29" spans="1:8" x14ac:dyDescent="0.25">
      <c r="A29" s="24"/>
      <c r="B29" s="150"/>
      <c r="C29" s="150"/>
      <c r="D29" s="150"/>
      <c r="G29" t="s">
        <v>12</v>
      </c>
      <c r="H29" s="42">
        <f>H27*H28</f>
        <v>3602.2799999999997</v>
      </c>
    </row>
    <row r="30" spans="1:8" x14ac:dyDescent="0.25">
      <c r="A30" s="136"/>
      <c r="B30" s="136" t="s">
        <v>2</v>
      </c>
      <c r="C30" s="136"/>
      <c r="D30" s="136" t="s">
        <v>79</v>
      </c>
      <c r="E30" s="136" t="s">
        <v>11</v>
      </c>
      <c r="F30" s="136" t="s">
        <v>75</v>
      </c>
      <c r="G30" s="136" t="s">
        <v>76</v>
      </c>
      <c r="H30" s="136" t="s">
        <v>12</v>
      </c>
    </row>
    <row r="31" spans="1:8" x14ac:dyDescent="0.25">
      <c r="A31" s="5"/>
      <c r="B31" s="33" t="s">
        <v>129</v>
      </c>
    </row>
    <row r="32" spans="1:8" x14ac:dyDescent="0.25">
      <c r="A32" s="5"/>
    </row>
    <row r="33" spans="1:8" x14ac:dyDescent="0.25">
      <c r="B33" s="40" t="s">
        <v>132</v>
      </c>
      <c r="C33" t="s">
        <v>89</v>
      </c>
      <c r="D33" t="str">
        <f>'Mano de Obra'!A3</f>
        <v>Trazo y nivelacion incluye mano de obra y herramienta</v>
      </c>
      <c r="E33" t="str">
        <f>'Mano de Obra'!B3</f>
        <v>M2</v>
      </c>
      <c r="F33">
        <f>'Generador de obra'!J14</f>
        <v>300.19</v>
      </c>
      <c r="G33" s="42">
        <f>'Mano de Obra'!C3</f>
        <v>12</v>
      </c>
      <c r="H33" s="42">
        <f>F33*G33</f>
        <v>3602.2799999999997</v>
      </c>
    </row>
    <row r="34" spans="1:8" x14ac:dyDescent="0.25">
      <c r="A34" s="28"/>
      <c r="B34" s="41"/>
    </row>
    <row r="35" spans="1:8" x14ac:dyDescent="0.25">
      <c r="A35" s="24"/>
      <c r="B35" s="161" t="str">
        <f>'Generador de obra'!B18</f>
        <v>Instalacion de mufa incluye mano de obra, materiales y herramienta para su correcta instalacion</v>
      </c>
      <c r="C35" s="161"/>
      <c r="D35" s="161"/>
      <c r="G35" t="s">
        <v>11</v>
      </c>
      <c r="H35" s="22" t="str">
        <f>'Generador de obra'!K18</f>
        <v>Jgo</v>
      </c>
    </row>
    <row r="36" spans="1:8" x14ac:dyDescent="0.25">
      <c r="A36" s="2"/>
      <c r="B36" s="161"/>
      <c r="C36" s="161"/>
      <c r="D36" s="161"/>
      <c r="G36" t="s">
        <v>75</v>
      </c>
      <c r="H36">
        <v>1</v>
      </c>
    </row>
    <row r="37" spans="1:8" x14ac:dyDescent="0.25">
      <c r="A37" s="2"/>
      <c r="B37" s="161"/>
      <c r="C37" s="161"/>
      <c r="D37" s="161"/>
      <c r="G37" t="s">
        <v>76</v>
      </c>
      <c r="H37" s="39">
        <f>H49+G51</f>
        <v>999</v>
      </c>
    </row>
    <row r="38" spans="1:8" x14ac:dyDescent="0.25">
      <c r="A38" s="2"/>
      <c r="B38" s="161"/>
      <c r="C38" s="161"/>
      <c r="D38" s="161"/>
      <c r="G38" t="s">
        <v>12</v>
      </c>
      <c r="H38" s="42">
        <f>H37*H36</f>
        <v>999</v>
      </c>
    </row>
    <row r="39" spans="1:8" x14ac:dyDescent="0.25">
      <c r="A39" s="136"/>
      <c r="B39" s="136" t="s">
        <v>2</v>
      </c>
      <c r="C39" s="136"/>
      <c r="D39" s="136" t="s">
        <v>79</v>
      </c>
      <c r="E39" s="136" t="s">
        <v>11</v>
      </c>
      <c r="F39" s="136" t="s">
        <v>75</v>
      </c>
      <c r="G39" s="136" t="s">
        <v>76</v>
      </c>
      <c r="H39" s="136" t="s">
        <v>12</v>
      </c>
    </row>
    <row r="40" spans="1:8" x14ac:dyDescent="0.25">
      <c r="A40" s="28"/>
      <c r="B40" s="33" t="s">
        <v>129</v>
      </c>
    </row>
    <row r="41" spans="1:8" x14ac:dyDescent="0.25">
      <c r="A41" s="28"/>
      <c r="D41" t="str">
        <f>Materiales!A69</f>
        <v>CABLE # 8</v>
      </c>
      <c r="E41" t="str">
        <f>Materiales!C69</f>
        <v>MT</v>
      </c>
      <c r="F41">
        <f>Materiales!B69</f>
        <v>10</v>
      </c>
      <c r="G41" s="39">
        <f>Materiales!D69</f>
        <v>16.5</v>
      </c>
      <c r="H41" s="39">
        <f>F41*G41</f>
        <v>165</v>
      </c>
    </row>
    <row r="42" spans="1:8" x14ac:dyDescent="0.25">
      <c r="A42" s="28"/>
      <c r="D42" t="str">
        <f>Materiales!A70</f>
        <v xml:space="preserve">BASE MEDIDOR </v>
      </c>
      <c r="E42" t="str">
        <f>Materiales!C70</f>
        <v>PZA</v>
      </c>
      <c r="F42">
        <f>Materiales!B70</f>
        <v>1</v>
      </c>
      <c r="G42" s="39">
        <f>Materiales!D70</f>
        <v>98</v>
      </c>
      <c r="H42" s="39">
        <f t="shared" ref="H42:H48" si="0">F42*G42</f>
        <v>98</v>
      </c>
    </row>
    <row r="43" spans="1:8" x14ac:dyDescent="0.25">
      <c r="A43" s="28"/>
      <c r="D43" t="str">
        <f>Materiales!A71</f>
        <v>TUBO P/MUFA</v>
      </c>
      <c r="E43" t="str">
        <f>Materiales!C71</f>
        <v>PZA</v>
      </c>
      <c r="F43">
        <f>Materiales!B71</f>
        <v>1</v>
      </c>
      <c r="G43" s="39">
        <f>Materiales!D71</f>
        <v>127</v>
      </c>
      <c r="H43" s="39">
        <f t="shared" si="0"/>
        <v>127</v>
      </c>
    </row>
    <row r="44" spans="1:8" x14ac:dyDescent="0.25">
      <c r="A44" s="28"/>
      <c r="D44" t="str">
        <f>Materiales!A72</f>
        <v>MUFA 1 1/4</v>
      </c>
      <c r="E44" t="str">
        <f>Materiales!C72</f>
        <v>PZA</v>
      </c>
      <c r="F44">
        <f>Materiales!B72</f>
        <v>1</v>
      </c>
      <c r="G44" s="39">
        <f>Materiales!D72</f>
        <v>17</v>
      </c>
      <c r="H44" s="39">
        <f t="shared" si="0"/>
        <v>17</v>
      </c>
    </row>
    <row r="45" spans="1:8" x14ac:dyDescent="0.25">
      <c r="A45" s="28"/>
      <c r="D45" t="str">
        <f>Materiales!A73</f>
        <v>VARILLA P/ TIERRA 1 METRO X 1/2</v>
      </c>
      <c r="E45" t="str">
        <f>Materiales!C73</f>
        <v>PZA</v>
      </c>
      <c r="F45">
        <f>Materiales!B73</f>
        <v>1</v>
      </c>
      <c r="G45" s="39">
        <f>Materiales!D73</f>
        <v>39</v>
      </c>
      <c r="H45" s="39">
        <f t="shared" si="0"/>
        <v>39</v>
      </c>
    </row>
    <row r="46" spans="1:8" x14ac:dyDescent="0.25">
      <c r="A46" s="28"/>
      <c r="D46" t="str">
        <f>Materiales!A75</f>
        <v>CONECTOR P/VARILLA</v>
      </c>
      <c r="E46" t="str">
        <f>Materiales!C74</f>
        <v>PZA</v>
      </c>
      <c r="F46">
        <f>Materiales!B75</f>
        <v>1</v>
      </c>
      <c r="G46" s="39">
        <f>Materiales!D75</f>
        <v>9</v>
      </c>
      <c r="H46" s="39">
        <f t="shared" si="0"/>
        <v>9</v>
      </c>
    </row>
    <row r="47" spans="1:8" x14ac:dyDescent="0.25">
      <c r="A47" s="28"/>
      <c r="D47" t="str">
        <f>Materiales!A76</f>
        <v>CENTRO DE CARGA  SQD 2 PASTILLAS</v>
      </c>
      <c r="E47" t="str">
        <f>Materiales!C75</f>
        <v>PZA</v>
      </c>
      <c r="F47">
        <f>Materiales!B76</f>
        <v>1</v>
      </c>
      <c r="G47" s="39">
        <f>Materiales!D76</f>
        <v>130</v>
      </c>
      <c r="H47" s="39">
        <f t="shared" si="0"/>
        <v>130</v>
      </c>
    </row>
    <row r="48" spans="1:8" x14ac:dyDescent="0.25">
      <c r="A48" s="28"/>
      <c r="D48" t="str">
        <f>Materiales!A79</f>
        <v>INTERRUPTOR BOYER</v>
      </c>
      <c r="E48" t="str">
        <f>Materiales!C79</f>
        <v>PZA</v>
      </c>
      <c r="F48">
        <f>Materiales!B79</f>
        <v>1</v>
      </c>
      <c r="G48" s="39">
        <f>Materiales!D79</f>
        <v>114</v>
      </c>
      <c r="H48" s="39">
        <f t="shared" si="0"/>
        <v>114</v>
      </c>
    </row>
    <row r="49" spans="1:8" x14ac:dyDescent="0.25">
      <c r="A49" s="28"/>
      <c r="G49" t="s">
        <v>176</v>
      </c>
      <c r="H49" s="42">
        <f>H41+H42+H43+H44+H45+H46+H47+H48</f>
        <v>699</v>
      </c>
    </row>
    <row r="50" spans="1:8" x14ac:dyDescent="0.25">
      <c r="A50" s="28"/>
      <c r="H50" s="42"/>
    </row>
    <row r="51" spans="1:8" x14ac:dyDescent="0.25">
      <c r="A51" s="28"/>
      <c r="B51" s="40" t="s">
        <v>132</v>
      </c>
      <c r="C51" t="s">
        <v>177</v>
      </c>
      <c r="D51" t="str">
        <f>'Mano de Obra'!A6</f>
        <v>Instalacion de mufa incluye mano de obra y herramienta</v>
      </c>
      <c r="E51" t="str">
        <f>'Mano de Obra'!B6</f>
        <v>Jgo</v>
      </c>
      <c r="F51">
        <v>1</v>
      </c>
      <c r="G51" s="15">
        <f>'Mano de Obra'!C6</f>
        <v>300</v>
      </c>
      <c r="H51" s="15">
        <f>G51</f>
        <v>300</v>
      </c>
    </row>
    <row r="52" spans="1:8" x14ac:dyDescent="0.25">
      <c r="A52" s="28"/>
      <c r="B52" s="41"/>
      <c r="G52" s="35"/>
      <c r="H52" s="15"/>
    </row>
    <row r="53" spans="1:8" x14ac:dyDescent="0.25">
      <c r="A53" s="2"/>
      <c r="B53" s="150" t="str">
        <f>'Generador de obra'!B19</f>
        <v>Intalacion de toma de agua incluye mano de obra, material y herramienta para su correcta elaboracion.</v>
      </c>
      <c r="C53" s="150"/>
      <c r="D53" s="150"/>
      <c r="G53" t="s">
        <v>11</v>
      </c>
      <c r="H53" s="46" t="str">
        <f>'Generador de obra'!K19</f>
        <v>Jgo</v>
      </c>
    </row>
    <row r="54" spans="1:8" x14ac:dyDescent="0.25">
      <c r="A54" s="2"/>
      <c r="B54" s="150"/>
      <c r="C54" s="150"/>
      <c r="D54" s="150"/>
      <c r="G54" t="s">
        <v>75</v>
      </c>
      <c r="H54" s="47">
        <f>'Generador de obra'!J19</f>
        <v>1</v>
      </c>
    </row>
    <row r="55" spans="1:8" x14ac:dyDescent="0.25">
      <c r="A55" s="2"/>
      <c r="B55" s="150"/>
      <c r="C55" s="150"/>
      <c r="D55" s="150"/>
      <c r="G55" t="s">
        <v>76</v>
      </c>
      <c r="H55" s="45">
        <f>H65+G66</f>
        <v>1025</v>
      </c>
    </row>
    <row r="56" spans="1:8" x14ac:dyDescent="0.25">
      <c r="A56" s="2"/>
      <c r="B56" s="150"/>
      <c r="C56" s="150"/>
      <c r="D56" s="150"/>
      <c r="G56" t="s">
        <v>12</v>
      </c>
      <c r="H56" s="15">
        <f>H54*H55</f>
        <v>1025</v>
      </c>
    </row>
    <row r="57" spans="1:8" x14ac:dyDescent="0.25">
      <c r="A57" s="136"/>
      <c r="B57" s="136" t="s">
        <v>2</v>
      </c>
      <c r="C57" s="136"/>
      <c r="D57" s="136" t="s">
        <v>79</v>
      </c>
      <c r="E57" s="136" t="s">
        <v>11</v>
      </c>
      <c r="F57" s="136" t="s">
        <v>75</v>
      </c>
      <c r="G57" s="136" t="s">
        <v>76</v>
      </c>
      <c r="H57" s="136" t="s">
        <v>12</v>
      </c>
    </row>
    <row r="58" spans="1:8" x14ac:dyDescent="0.25">
      <c r="A58" s="28"/>
      <c r="B58" s="33" t="s">
        <v>129</v>
      </c>
      <c r="G58" s="35"/>
      <c r="H58" s="15"/>
    </row>
    <row r="59" spans="1:8" x14ac:dyDescent="0.25">
      <c r="A59" s="28"/>
      <c r="B59" s="28"/>
      <c r="D59" t="str">
        <f>Materiales!A83</f>
        <v>VALVULA CUADRO</v>
      </c>
      <c r="E59" t="str">
        <f>Materiales!C83</f>
        <v>PZA</v>
      </c>
      <c r="F59">
        <f>Materiales!B83</f>
        <v>1</v>
      </c>
      <c r="G59" s="35">
        <f>Materiales!D83</f>
        <v>115</v>
      </c>
      <c r="H59" s="45">
        <f t="shared" ref="H59:H64" si="1">G59*F59</f>
        <v>115</v>
      </c>
    </row>
    <row r="60" spans="1:8" x14ac:dyDescent="0.25">
      <c r="A60" s="28"/>
      <c r="B60" s="28"/>
      <c r="D60" t="str">
        <f>Materiales!A84</f>
        <v>VALVULA INSERCION</v>
      </c>
      <c r="E60" t="str">
        <f>Materiales!C84</f>
        <v>PZA</v>
      </c>
      <c r="F60">
        <f>Materiales!B84</f>
        <v>1</v>
      </c>
      <c r="G60" s="35">
        <f>Materiales!D84</f>
        <v>146</v>
      </c>
      <c r="H60" s="45">
        <f t="shared" si="1"/>
        <v>146</v>
      </c>
    </row>
    <row r="61" spans="1:8" x14ac:dyDescent="0.25">
      <c r="A61" s="28"/>
      <c r="B61" s="28"/>
      <c r="D61" t="str">
        <f>Materiales!A85</f>
        <v>VALVULA BANQUETA</v>
      </c>
      <c r="E61" t="str">
        <f>Materiales!C85</f>
        <v>PZA</v>
      </c>
      <c r="F61">
        <f>Materiales!B85</f>
        <v>1</v>
      </c>
      <c r="G61" s="35">
        <f>Materiales!D85</f>
        <v>158</v>
      </c>
      <c r="H61" s="45">
        <f t="shared" si="1"/>
        <v>158</v>
      </c>
    </row>
    <row r="62" spans="1:8" x14ac:dyDescent="0.25">
      <c r="A62" s="28"/>
      <c r="B62" s="28"/>
      <c r="D62" t="str">
        <f>Materiales!A86</f>
        <v>TORRE BANQUETA</v>
      </c>
      <c r="E62" t="str">
        <f>Materiales!C86</f>
        <v>PZA</v>
      </c>
      <c r="F62">
        <f>Materiales!B86</f>
        <v>1</v>
      </c>
      <c r="G62" s="35">
        <f>Materiales!D86</f>
        <v>151</v>
      </c>
      <c r="H62" s="45">
        <f t="shared" si="1"/>
        <v>151</v>
      </c>
    </row>
    <row r="63" spans="1:8" x14ac:dyDescent="0.25">
      <c r="A63" s="28"/>
      <c r="B63" s="28"/>
      <c r="D63" t="str">
        <f>Materiales!A88</f>
        <v>ABRAZADERA TOMA AGUA 2 1/2</v>
      </c>
      <c r="E63" t="str">
        <f>Materiales!C88</f>
        <v>PZA</v>
      </c>
      <c r="F63">
        <f>Materiales!B88</f>
        <v>1</v>
      </c>
      <c r="G63" s="35">
        <f>Materiales!D88</f>
        <v>63</v>
      </c>
      <c r="H63" s="45">
        <f t="shared" si="1"/>
        <v>63</v>
      </c>
    </row>
    <row r="64" spans="1:8" x14ac:dyDescent="0.25">
      <c r="A64" s="28"/>
      <c r="B64" s="28"/>
      <c r="D64" t="str">
        <f>Materiales!A90</f>
        <v>TUBO COBRE FLEXIBLE 5/8</v>
      </c>
      <c r="E64" t="str">
        <f>Materiales!C90</f>
        <v xml:space="preserve">MT </v>
      </c>
      <c r="F64">
        <f>Materiales!B90</f>
        <v>1</v>
      </c>
      <c r="G64" s="35">
        <f>Materiales!D90</f>
        <v>92</v>
      </c>
      <c r="H64" s="45">
        <f t="shared" si="1"/>
        <v>92</v>
      </c>
    </row>
    <row r="65" spans="1:12" x14ac:dyDescent="0.25">
      <c r="A65" s="28"/>
      <c r="B65" s="28"/>
      <c r="G65" t="s">
        <v>176</v>
      </c>
      <c r="H65" s="15">
        <f>H59+H60+H61+H62+H63+H64</f>
        <v>725</v>
      </c>
    </row>
    <row r="66" spans="1:12" ht="30" x14ac:dyDescent="0.25">
      <c r="A66" s="28"/>
      <c r="B66" s="44" t="s">
        <v>132</v>
      </c>
      <c r="C66" s="23" t="s">
        <v>180</v>
      </c>
      <c r="D66" s="1" t="str">
        <f>'Mano de Obra'!A5</f>
        <v>Instalacion de toma de agua  incluye mano de obra y herramienta</v>
      </c>
      <c r="E66" t="str">
        <f>'Generador de obra'!K19</f>
        <v>Jgo</v>
      </c>
      <c r="F66">
        <f>'Generador de obra'!J19</f>
        <v>1</v>
      </c>
      <c r="G66" s="15">
        <f>'Mano de Obra'!C5</f>
        <v>300</v>
      </c>
      <c r="H66" s="15">
        <f>F66*G66</f>
        <v>300</v>
      </c>
    </row>
    <row r="67" spans="1:12" x14ac:dyDescent="0.25">
      <c r="A67" s="28"/>
      <c r="B67" s="28"/>
      <c r="G67" s="35"/>
      <c r="H67" s="15"/>
    </row>
    <row r="68" spans="1:12" x14ac:dyDescent="0.25">
      <c r="A68" s="28"/>
      <c r="B68" s="28"/>
      <c r="G68" s="35"/>
      <c r="H68" s="15"/>
    </row>
    <row r="69" spans="1:12" ht="15.75" customHeight="1" x14ac:dyDescent="0.25">
      <c r="A69" s="28"/>
      <c r="B69" s="28"/>
      <c r="G69" s="35"/>
      <c r="H69" s="15"/>
    </row>
    <row r="70" spans="1:12" x14ac:dyDescent="0.25">
      <c r="A70" s="158" t="s">
        <v>181</v>
      </c>
      <c r="B70" s="158"/>
      <c r="C70" s="158"/>
      <c r="D70" s="158"/>
      <c r="E70" s="48">
        <f>H20+H29+H38+H56+H10+H15</f>
        <v>12217.777599999999</v>
      </c>
      <c r="G70" s="35"/>
      <c r="H70" s="15"/>
    </row>
    <row r="72" spans="1:12" s="28" customFormat="1" x14ac:dyDescent="0.25">
      <c r="A72" s="160" t="s">
        <v>20</v>
      </c>
      <c r="B72" s="160"/>
      <c r="C72" s="160"/>
      <c r="D72" s="160"/>
      <c r="E72" s="160"/>
      <c r="F72" s="160"/>
      <c r="G72" s="160"/>
      <c r="H72" s="160"/>
      <c r="I72" s="138"/>
      <c r="J72" s="138"/>
      <c r="K72" s="138"/>
      <c r="L72" s="138"/>
    </row>
    <row r="73" spans="1:12" ht="15" customHeight="1" x14ac:dyDescent="0.25">
      <c r="A73" s="6"/>
      <c r="B73" s="150" t="str">
        <f>'Generador de obra'!B22</f>
        <v>Excavacion para cimentacion: A mano para excavacion de cepas de .80m x.60 en suelo tipo 2 incluye herramienta . Al igual que limpieza y acarreo a la primera estacion y retiro de sobrante</v>
      </c>
      <c r="C73" s="150"/>
      <c r="D73" s="150"/>
      <c r="E73" s="20"/>
      <c r="F73" s="20"/>
      <c r="G73" t="s">
        <v>11</v>
      </c>
      <c r="H73" t="str">
        <f>'Generador de obra'!K22</f>
        <v>M³</v>
      </c>
    </row>
    <row r="74" spans="1:12" x14ac:dyDescent="0.25">
      <c r="A74" s="2"/>
      <c r="B74" s="150"/>
      <c r="C74" s="150"/>
      <c r="D74" s="150"/>
      <c r="E74" s="20"/>
      <c r="F74" s="20"/>
      <c r="G74" t="s">
        <v>75</v>
      </c>
      <c r="H74">
        <f>'Generador de obra'!J22</f>
        <v>77.395200000000003</v>
      </c>
    </row>
    <row r="75" spans="1:12" x14ac:dyDescent="0.25">
      <c r="A75" s="2"/>
      <c r="B75" s="150"/>
      <c r="C75" s="150"/>
      <c r="D75" s="150"/>
      <c r="E75" s="20"/>
      <c r="F75" s="20"/>
      <c r="G75" t="s">
        <v>76</v>
      </c>
      <c r="H75" s="39">
        <f>G84</f>
        <v>95</v>
      </c>
    </row>
    <row r="76" spans="1:12" x14ac:dyDescent="0.25">
      <c r="A76" s="2"/>
      <c r="B76" s="150"/>
      <c r="C76" s="150"/>
      <c r="D76" s="150"/>
      <c r="E76" s="20"/>
      <c r="F76" s="20"/>
      <c r="G76" t="s">
        <v>12</v>
      </c>
      <c r="H76" s="42">
        <f>H74*H75+H82</f>
        <v>7378.0439999999999</v>
      </c>
    </row>
    <row r="77" spans="1:12" x14ac:dyDescent="0.25">
      <c r="A77" s="137"/>
      <c r="B77" s="137" t="s">
        <v>2</v>
      </c>
      <c r="C77" s="137"/>
      <c r="D77" s="137" t="s">
        <v>79</v>
      </c>
      <c r="E77" s="137" t="s">
        <v>11</v>
      </c>
      <c r="F77" s="137" t="s">
        <v>75</v>
      </c>
      <c r="G77" s="137" t="s">
        <v>76</v>
      </c>
      <c r="H77" s="137" t="s">
        <v>12</v>
      </c>
    </row>
    <row r="78" spans="1:12" x14ac:dyDescent="0.25">
      <c r="B78" s="33" t="s">
        <v>78</v>
      </c>
      <c r="G78" s="28" t="s">
        <v>247</v>
      </c>
    </row>
    <row r="79" spans="1:12" x14ac:dyDescent="0.25">
      <c r="D79" t="str">
        <f>Materiales!A40</f>
        <v>PALA</v>
      </c>
      <c r="E79" t="str">
        <f>Materiales!B40</f>
        <v>PZA</v>
      </c>
      <c r="F79">
        <v>1</v>
      </c>
      <c r="G79" s="35">
        <f>Materiales!C40*0.03</f>
        <v>2.5499999999999998</v>
      </c>
      <c r="H79">
        <f>F79*G79</f>
        <v>2.5499999999999998</v>
      </c>
      <c r="J79" s="39"/>
    </row>
    <row r="80" spans="1:12" x14ac:dyDescent="0.25">
      <c r="D80" t="str">
        <f>Materiales!A41</f>
        <v>PICO</v>
      </c>
      <c r="E80" t="str">
        <f>Materiales!B41</f>
        <v>PZA</v>
      </c>
      <c r="F80">
        <v>1</v>
      </c>
      <c r="G80" s="35">
        <f>Materiales!C41*0.03</f>
        <v>6.45</v>
      </c>
      <c r="H80">
        <f>F80*G80</f>
        <v>6.45</v>
      </c>
    </row>
    <row r="81" spans="1:12" x14ac:dyDescent="0.25">
      <c r="D81" t="str">
        <f>Materiales!A42</f>
        <v>CARRETILLA</v>
      </c>
      <c r="E81" t="str">
        <f>Materiales!B42</f>
        <v>PZA</v>
      </c>
      <c r="F81">
        <v>1</v>
      </c>
      <c r="G81" s="35">
        <f>Materiales!C42*0.03</f>
        <v>16.5</v>
      </c>
      <c r="H81">
        <f>F81*G81</f>
        <v>16.5</v>
      </c>
    </row>
    <row r="82" spans="1:12" x14ac:dyDescent="0.25">
      <c r="G82" t="s">
        <v>176</v>
      </c>
      <c r="H82" s="10">
        <f>H79+H80+H81</f>
        <v>25.5</v>
      </c>
    </row>
    <row r="84" spans="1:12" ht="45" x14ac:dyDescent="0.25">
      <c r="B84" s="44" t="s">
        <v>132</v>
      </c>
      <c r="C84" s="23" t="s">
        <v>185</v>
      </c>
      <c r="D84" s="1" t="str">
        <f>'Mano de Obra'!A7</f>
        <v>Excavacion a mano en cepa, incluye afine de taludes y fondo, en material seco, tipo II con pronfundidad de 0.00 a 2.00m  incluye mano de obra y herramienta</v>
      </c>
      <c r="E84" t="str">
        <f>'Mano de Obra'!B7</f>
        <v>M³</v>
      </c>
      <c r="F84">
        <f>'Generador de obra'!J22</f>
        <v>77.395200000000003</v>
      </c>
      <c r="G84" s="42">
        <f>'Mano de Obra'!C7</f>
        <v>95</v>
      </c>
      <c r="H84" s="42">
        <f>F84*G84</f>
        <v>7352.5439999999999</v>
      </c>
    </row>
    <row r="86" spans="1:12" ht="15" customHeight="1" x14ac:dyDescent="0.25">
      <c r="A86" s="2"/>
      <c r="B86" s="150" t="str">
        <f>'Generador de obra'!B39</f>
        <v>Plantilla de cimentacion: Suministro y fabricacion de concreto con un F'c 100kg/cm² de 5cm de espesor incluye mano de obra, herramientas y materiales para su correcta elaboracion.</v>
      </c>
      <c r="C86" s="150"/>
      <c r="D86" s="150"/>
      <c r="E86" s="20"/>
      <c r="F86" s="20"/>
      <c r="G86" t="s">
        <v>11</v>
      </c>
      <c r="H86" t="str">
        <f>'Generador de obra'!K39</f>
        <v>M²</v>
      </c>
    </row>
    <row r="87" spans="1:12" x14ac:dyDescent="0.25">
      <c r="A87" s="2"/>
      <c r="B87" s="150"/>
      <c r="C87" s="150"/>
      <c r="D87" s="150"/>
      <c r="E87" s="20"/>
      <c r="F87" s="20"/>
      <c r="G87" t="s">
        <v>75</v>
      </c>
      <c r="H87">
        <f>'Generador de obra'!J39</f>
        <v>96.744000000000014</v>
      </c>
    </row>
    <row r="88" spans="1:12" x14ac:dyDescent="0.25">
      <c r="A88" s="2"/>
      <c r="B88" s="150"/>
      <c r="C88" s="150"/>
      <c r="D88" s="150"/>
      <c r="E88" s="20"/>
      <c r="F88" s="20"/>
      <c r="G88" t="s">
        <v>76</v>
      </c>
      <c r="H88" s="39">
        <f>G99+G106</f>
        <v>158.32400000000001</v>
      </c>
    </row>
    <row r="89" spans="1:12" x14ac:dyDescent="0.25">
      <c r="A89" s="2"/>
      <c r="B89" s="150"/>
      <c r="C89" s="150"/>
      <c r="D89" s="150"/>
      <c r="E89" s="20"/>
      <c r="F89" s="20"/>
      <c r="G89" t="s">
        <v>12</v>
      </c>
      <c r="H89" s="42">
        <f>H88*H87</f>
        <v>15316.897056000003</v>
      </c>
    </row>
    <row r="90" spans="1:12" x14ac:dyDescent="0.25">
      <c r="A90" s="137"/>
      <c r="B90" s="137" t="s">
        <v>2</v>
      </c>
      <c r="C90" s="137"/>
      <c r="D90" s="137" t="s">
        <v>79</v>
      </c>
      <c r="E90" s="137" t="s">
        <v>11</v>
      </c>
      <c r="F90" s="137" t="s">
        <v>75</v>
      </c>
      <c r="G90" s="137" t="s">
        <v>76</v>
      </c>
      <c r="H90" s="137" t="s">
        <v>12</v>
      </c>
    </row>
    <row r="91" spans="1:12" x14ac:dyDescent="0.25">
      <c r="B91" s="33" t="s">
        <v>78</v>
      </c>
    </row>
    <row r="92" spans="1:12" x14ac:dyDescent="0.25">
      <c r="D92" t="s">
        <v>207</v>
      </c>
      <c r="E92" t="str">
        <f>E84</f>
        <v>M³</v>
      </c>
      <c r="I92" s="98" t="s">
        <v>139</v>
      </c>
      <c r="J92" s="98" t="s">
        <v>498</v>
      </c>
      <c r="K92" s="98" t="s">
        <v>504</v>
      </c>
      <c r="L92" s="98"/>
    </row>
    <row r="93" spans="1:12" x14ac:dyDescent="0.25">
      <c r="D93" t="str">
        <f>D115</f>
        <v>CEMENTO CRUZ AZUL</v>
      </c>
      <c r="E93" t="s">
        <v>80</v>
      </c>
      <c r="F93">
        <f>0.275*20</f>
        <v>5.5</v>
      </c>
      <c r="G93" s="39">
        <f>G115</f>
        <v>120</v>
      </c>
      <c r="H93" s="39">
        <f>G93*F93</f>
        <v>660</v>
      </c>
      <c r="I93">
        <f>F93*0.05</f>
        <v>0.27500000000000002</v>
      </c>
      <c r="J93">
        <f>I93*H87</f>
        <v>26.604600000000005</v>
      </c>
      <c r="K93">
        <f>14*I93*4</f>
        <v>15.400000000000002</v>
      </c>
    </row>
    <row r="94" spans="1:12" x14ac:dyDescent="0.25">
      <c r="D94" t="str">
        <f>D116</f>
        <v xml:space="preserve">ARENA </v>
      </c>
      <c r="E94" t="s">
        <v>81</v>
      </c>
      <c r="F94">
        <f>0.5446*50</f>
        <v>27.229999999999997</v>
      </c>
      <c r="G94" s="39">
        <f>G116</f>
        <v>7</v>
      </c>
      <c r="H94" s="39">
        <f>G94*F94</f>
        <v>190.60999999999999</v>
      </c>
      <c r="I94">
        <f>F94*0.05</f>
        <v>1.3614999999999999</v>
      </c>
      <c r="J94">
        <f>I94*H87</f>
        <v>131.71695600000001</v>
      </c>
      <c r="K94">
        <f>14*I94*4</f>
        <v>76.244</v>
      </c>
      <c r="L94">
        <f>K94/40</f>
        <v>1.9060999999999999</v>
      </c>
    </row>
    <row r="95" spans="1:12" x14ac:dyDescent="0.25">
      <c r="D95" t="str">
        <f>D117</f>
        <v>GRAVA</v>
      </c>
      <c r="E95" t="s">
        <v>81</v>
      </c>
      <c r="F95">
        <f>0.6591*50</f>
        <v>32.954999999999998</v>
      </c>
      <c r="G95" s="39">
        <f>G117</f>
        <v>14</v>
      </c>
      <c r="H95" s="39">
        <f>G95*F95</f>
        <v>461.37</v>
      </c>
      <c r="I95">
        <f>F95*0.05</f>
        <v>1.64775</v>
      </c>
      <c r="J95">
        <f>I95*H87</f>
        <v>159.40992600000004</v>
      </c>
      <c r="K95">
        <f>14*I95*6</f>
        <v>138.411</v>
      </c>
      <c r="L95">
        <f>K95/40</f>
        <v>3.4602750000000002</v>
      </c>
    </row>
    <row r="96" spans="1:12" x14ac:dyDescent="0.25">
      <c r="D96" t="str">
        <f>D118</f>
        <v>AGUA</v>
      </c>
      <c r="E96" t="s">
        <v>81</v>
      </c>
      <c r="F96" s="54">
        <v>14.5</v>
      </c>
      <c r="G96" s="39">
        <f>G118</f>
        <v>1</v>
      </c>
      <c r="H96" s="39">
        <f>G96*F96</f>
        <v>14.5</v>
      </c>
      <c r="I96">
        <f>F96*0.05</f>
        <v>0.72500000000000009</v>
      </c>
      <c r="J96">
        <f>I96*H87</f>
        <v>70.139400000000023</v>
      </c>
      <c r="K96">
        <f>14*I96*4/1000</f>
        <v>4.0600000000000011E-2</v>
      </c>
    </row>
    <row r="97" spans="1:10" x14ac:dyDescent="0.25">
      <c r="G97" t="s">
        <v>9</v>
      </c>
      <c r="H97" s="42">
        <f>H93+H94+H95+H96</f>
        <v>1326.48</v>
      </c>
    </row>
    <row r="98" spans="1:10" x14ac:dyDescent="0.25">
      <c r="I98" s="98" t="s">
        <v>496</v>
      </c>
      <c r="J98" s="98" t="s">
        <v>497</v>
      </c>
    </row>
    <row r="99" spans="1:10" x14ac:dyDescent="0.25">
      <c r="D99" t="str">
        <f>D92</f>
        <v>Cemento F'c 100kg/cm2</v>
      </c>
      <c r="E99" t="s">
        <v>15</v>
      </c>
      <c r="F99">
        <f>H87</f>
        <v>96.744000000000014</v>
      </c>
      <c r="G99" s="42">
        <f>H97/20</f>
        <v>66.323999999999998</v>
      </c>
      <c r="H99" s="42">
        <f>G99*F99</f>
        <v>6416.4490560000004</v>
      </c>
    </row>
    <row r="100" spans="1:10" x14ac:dyDescent="0.25">
      <c r="D100" t="str">
        <f>D93</f>
        <v>CEMENTO CRUZ AZUL</v>
      </c>
      <c r="E100" t="s">
        <v>80</v>
      </c>
      <c r="F100">
        <f>F93/20</f>
        <v>0.27500000000000002</v>
      </c>
      <c r="G100" s="42"/>
      <c r="H100" s="42"/>
      <c r="I100">
        <f>F100*14</f>
        <v>3.8500000000000005</v>
      </c>
      <c r="J100">
        <f>I100*4/20</f>
        <v>0.77000000000000013</v>
      </c>
    </row>
    <row r="101" spans="1:10" x14ac:dyDescent="0.25">
      <c r="D101" t="str">
        <f>D94</f>
        <v xml:space="preserve">ARENA </v>
      </c>
      <c r="E101" t="s">
        <v>81</v>
      </c>
      <c r="F101">
        <f>F94/20</f>
        <v>1.3614999999999999</v>
      </c>
      <c r="G101" s="42"/>
      <c r="H101" s="42"/>
      <c r="I101">
        <f>F101*14</f>
        <v>19.061</v>
      </c>
      <c r="J101">
        <f>I101*4/40</f>
        <v>1.9060999999999999</v>
      </c>
    </row>
    <row r="102" spans="1:10" x14ac:dyDescent="0.25">
      <c r="D102" t="str">
        <f>D95</f>
        <v>GRAVA</v>
      </c>
      <c r="E102" t="s">
        <v>81</v>
      </c>
      <c r="F102">
        <f>F95/20</f>
        <v>1.6477499999999998</v>
      </c>
      <c r="G102" s="42"/>
      <c r="H102" s="42"/>
      <c r="I102">
        <f>F102*14</f>
        <v>23.068499999999997</v>
      </c>
      <c r="J102">
        <f>I102*4/40</f>
        <v>2.3068499999999998</v>
      </c>
    </row>
    <row r="103" spans="1:10" x14ac:dyDescent="0.25">
      <c r="D103" t="str">
        <f>D96</f>
        <v>AGUA</v>
      </c>
      <c r="E103" t="s">
        <v>81</v>
      </c>
      <c r="F103">
        <f>F96/20</f>
        <v>0.72499999999999998</v>
      </c>
      <c r="I103">
        <f>F103*14</f>
        <v>10.15</v>
      </c>
      <c r="J103">
        <f>I103*4/1000</f>
        <v>4.0600000000000004E-2</v>
      </c>
    </row>
    <row r="106" spans="1:10" ht="45" x14ac:dyDescent="0.25">
      <c r="B106" s="44" t="s">
        <v>132</v>
      </c>
      <c r="C106" t="s">
        <v>89</v>
      </c>
      <c r="D106" s="1" t="str">
        <f>'Mano de Obra'!A8</f>
        <v>Plantilla de concreto hecho en obra resistencia f'c 100kg/cm²de 5cm de espesor  incluye mano de obra y herramienta</v>
      </c>
      <c r="E106" t="str">
        <f>'Mano de Obra'!B8</f>
        <v>M²</v>
      </c>
      <c r="F106">
        <f>H87</f>
        <v>96.744000000000014</v>
      </c>
      <c r="G106" s="15">
        <f>'Mano de Obra'!C8</f>
        <v>92</v>
      </c>
      <c r="H106" s="15">
        <f>G106*F106</f>
        <v>8900.4480000000021</v>
      </c>
    </row>
    <row r="108" spans="1:10" ht="15" customHeight="1" x14ac:dyDescent="0.25">
      <c r="A108" s="2"/>
      <c r="B108" s="150" t="str">
        <f>'Generador de obra'!B56</f>
        <v>Zapata corrida: Se elaborara con concreto de F'c 250kg/cm² Hecho en obra de .40m de base por .60m de espesor con varilla de 3/8 y anillos del #2 @ 15cm incluye suministros, mano de obra, herramienta, armado, cimbrado,colado, decimbrado, curado limpieza de restos a pie de camion.</v>
      </c>
      <c r="C108" s="150"/>
      <c r="D108" s="150"/>
      <c r="E108" s="20"/>
      <c r="F108" s="20"/>
      <c r="G108" t="s">
        <v>11</v>
      </c>
      <c r="H108" t="str">
        <f>'Generador de obra'!K56</f>
        <v>ML</v>
      </c>
    </row>
    <row r="109" spans="1:10" x14ac:dyDescent="0.25">
      <c r="A109" s="2"/>
      <c r="B109" s="150"/>
      <c r="C109" s="150"/>
      <c r="D109" s="150"/>
      <c r="E109" s="20"/>
      <c r="F109" s="20"/>
      <c r="G109" t="s">
        <v>75</v>
      </c>
      <c r="H109">
        <f>'Generador de obra'!J56</f>
        <v>120.92999999999999</v>
      </c>
    </row>
    <row r="110" spans="1:10" x14ac:dyDescent="0.25">
      <c r="A110" s="2"/>
      <c r="B110" s="150"/>
      <c r="C110" s="150"/>
      <c r="D110" s="150"/>
      <c r="E110" s="20"/>
      <c r="F110" s="20"/>
      <c r="G110" t="s">
        <v>76</v>
      </c>
      <c r="H110" s="39">
        <f>H129+G131</f>
        <v>840.44330909090911</v>
      </c>
    </row>
    <row r="111" spans="1:10" x14ac:dyDescent="0.25">
      <c r="A111" s="2"/>
      <c r="B111" s="150"/>
      <c r="C111" s="150"/>
      <c r="D111" s="150"/>
      <c r="E111" s="20"/>
      <c r="F111" s="20"/>
      <c r="G111" t="s">
        <v>12</v>
      </c>
      <c r="H111" s="42">
        <f>H109*H110</f>
        <v>101634.80936836364</v>
      </c>
    </row>
    <row r="112" spans="1:10" x14ac:dyDescent="0.25">
      <c r="A112" s="137"/>
      <c r="B112" s="137" t="s">
        <v>2</v>
      </c>
      <c r="C112" s="137"/>
      <c r="D112" s="137" t="s">
        <v>79</v>
      </c>
      <c r="E112" s="137" t="s">
        <v>11</v>
      </c>
      <c r="F112" s="137" t="s">
        <v>75</v>
      </c>
      <c r="G112" s="137" t="s">
        <v>76</v>
      </c>
      <c r="H112" s="137" t="s">
        <v>12</v>
      </c>
    </row>
    <row r="113" spans="2:14" x14ac:dyDescent="0.25">
      <c r="B113" s="33" t="s">
        <v>78</v>
      </c>
    </row>
    <row r="114" spans="2:14" x14ac:dyDescent="0.25">
      <c r="D114" t="s">
        <v>208</v>
      </c>
      <c r="E114" t="s">
        <v>23</v>
      </c>
      <c r="I114" s="98" t="s">
        <v>139</v>
      </c>
      <c r="J114" s="98" t="s">
        <v>498</v>
      </c>
      <c r="K114" s="98" t="s">
        <v>499</v>
      </c>
      <c r="L114" s="98" t="s">
        <v>500</v>
      </c>
      <c r="M114" s="98" t="s">
        <v>499</v>
      </c>
      <c r="N114" s="98" t="s">
        <v>500</v>
      </c>
    </row>
    <row r="115" spans="2:14" x14ac:dyDescent="0.25">
      <c r="D115" t="str">
        <f>Materiales!A5</f>
        <v>CEMENTO CRUZ AZUL</v>
      </c>
      <c r="E115" t="s">
        <v>80</v>
      </c>
      <c r="F115">
        <v>8</v>
      </c>
      <c r="G115" s="35">
        <f>G195</f>
        <v>120</v>
      </c>
      <c r="H115" s="35">
        <f>G115*F115</f>
        <v>960</v>
      </c>
      <c r="I115">
        <f>F115*0.24</f>
        <v>1.92</v>
      </c>
      <c r="J115">
        <f>I115*H109</f>
        <v>232.18559999999997</v>
      </c>
      <c r="K115">
        <f>5.33*I115*6</f>
        <v>61.401599999999995</v>
      </c>
      <c r="L115">
        <f>5.33*I115*5</f>
        <v>51.167999999999992</v>
      </c>
      <c r="M115">
        <f>K115/20</f>
        <v>3.0700799999999999</v>
      </c>
      <c r="N115">
        <f>L115/20</f>
        <v>2.5583999999999998</v>
      </c>
    </row>
    <row r="116" spans="2:14" x14ac:dyDescent="0.25">
      <c r="D116" t="str">
        <f>D196</f>
        <v xml:space="preserve">ARENA </v>
      </c>
      <c r="E116" t="s">
        <v>81</v>
      </c>
      <c r="F116">
        <v>28.5</v>
      </c>
      <c r="G116" s="35">
        <f>G196</f>
        <v>7</v>
      </c>
      <c r="H116" s="35">
        <f>G116*F116</f>
        <v>199.5</v>
      </c>
      <c r="I116">
        <f>F116*0.24</f>
        <v>6.84</v>
      </c>
      <c r="J116">
        <f>I116*H109</f>
        <v>827.16119999999989</v>
      </c>
      <c r="K116">
        <f>5.33*I116*6</f>
        <v>218.7432</v>
      </c>
      <c r="L116">
        <f>5.33*I116*5</f>
        <v>182.286</v>
      </c>
      <c r="M116">
        <f>K116/40</f>
        <v>5.4685800000000002</v>
      </c>
      <c r="N116">
        <f>L116/40</f>
        <v>4.55715</v>
      </c>
    </row>
    <row r="117" spans="2:14" x14ac:dyDescent="0.25">
      <c r="D117" t="str">
        <f>D197</f>
        <v>GRAVA</v>
      </c>
      <c r="E117" t="s">
        <v>81</v>
      </c>
      <c r="F117">
        <v>34</v>
      </c>
      <c r="G117" s="35">
        <f>G197</f>
        <v>14</v>
      </c>
      <c r="H117" s="35">
        <f>G117*F117</f>
        <v>476</v>
      </c>
      <c r="I117">
        <f>F117*0.24</f>
        <v>8.16</v>
      </c>
      <c r="J117">
        <f>I117*H109</f>
        <v>986.78879999999992</v>
      </c>
      <c r="K117">
        <f>5.33*I117*6</f>
        <v>260.95680000000004</v>
      </c>
      <c r="L117">
        <f>5.33*I117*5</f>
        <v>217.464</v>
      </c>
      <c r="M117">
        <f>K117/40</f>
        <v>6.5239200000000013</v>
      </c>
      <c r="N117">
        <f>L117/40</f>
        <v>5.4366000000000003</v>
      </c>
    </row>
    <row r="118" spans="2:14" x14ac:dyDescent="0.25">
      <c r="D118" t="str">
        <f>D198</f>
        <v>AGUA</v>
      </c>
      <c r="E118" t="s">
        <v>81</v>
      </c>
      <c r="F118">
        <v>12.5</v>
      </c>
      <c r="G118" s="35">
        <f>G198</f>
        <v>1</v>
      </c>
      <c r="H118" s="35">
        <f>G118*F118</f>
        <v>12.5</v>
      </c>
      <c r="I118">
        <f>F118*0.24</f>
        <v>3</v>
      </c>
      <c r="J118">
        <f>I118*H109</f>
        <v>362.78999999999996</v>
      </c>
      <c r="K118">
        <f>5.33*I118*6</f>
        <v>95.94</v>
      </c>
      <c r="L118">
        <f>5.33*I118*5</f>
        <v>79.95</v>
      </c>
      <c r="M118">
        <f>K118/40</f>
        <v>2.3984999999999999</v>
      </c>
      <c r="N118">
        <f>K118/1000</f>
        <v>9.5939999999999998E-2</v>
      </c>
    </row>
    <row r="119" spans="2:14" x14ac:dyDescent="0.25">
      <c r="G119" s="35" t="s">
        <v>9</v>
      </c>
      <c r="H119" s="15">
        <f>H115+H116+H117+H118</f>
        <v>1648</v>
      </c>
      <c r="N119">
        <f>L118/1000</f>
        <v>7.9950000000000007E-2</v>
      </c>
    </row>
    <row r="120" spans="2:14" x14ac:dyDescent="0.25">
      <c r="D120" t="s">
        <v>139</v>
      </c>
      <c r="G120" s="35"/>
      <c r="H120" s="35"/>
    </row>
    <row r="121" spans="2:14" ht="17.25" x14ac:dyDescent="0.25">
      <c r="D121" t="s">
        <v>82</v>
      </c>
      <c r="E121" t="s">
        <v>139</v>
      </c>
      <c r="F121">
        <f>(0.6*0.4)</f>
        <v>0.24</v>
      </c>
      <c r="G121" s="35">
        <v>16.48</v>
      </c>
      <c r="H121" s="35">
        <f>G121*F121*100</f>
        <v>395.52</v>
      </c>
    </row>
    <row r="122" spans="2:14" x14ac:dyDescent="0.25">
      <c r="D122" t="str">
        <f>Materiales!A9</f>
        <v>VARILLA 3/8</v>
      </c>
      <c r="E122" t="s">
        <v>139</v>
      </c>
      <c r="F122">
        <v>8</v>
      </c>
      <c r="G122" s="49">
        <f>Materiales!E9/11</f>
        <v>7.6363636363636367</v>
      </c>
      <c r="H122" s="35">
        <f t="shared" ref="H122:H128" si="2">G122*F122</f>
        <v>61.090909090909093</v>
      </c>
      <c r="I122">
        <f>F122*H109</f>
        <v>967.43999999999994</v>
      </c>
      <c r="J122">
        <f>I122/12</f>
        <v>80.61999999999999</v>
      </c>
    </row>
    <row r="123" spans="2:14" x14ac:dyDescent="0.25">
      <c r="D123" t="str">
        <f>Materiales!A39</f>
        <v>TABLA 2.5X30</v>
      </c>
      <c r="E123" t="s">
        <v>34</v>
      </c>
      <c r="F123">
        <v>2</v>
      </c>
      <c r="G123" s="35">
        <f>Materiales!C39/2.5</f>
        <v>34</v>
      </c>
      <c r="H123" s="35">
        <f t="shared" si="2"/>
        <v>68</v>
      </c>
      <c r="I123">
        <f>F123*H109</f>
        <v>241.85999999999999</v>
      </c>
      <c r="J123">
        <f>F123*5.33</f>
        <v>10.66</v>
      </c>
      <c r="L123">
        <f>F123*H109</f>
        <v>241.85999999999999</v>
      </c>
    </row>
    <row r="124" spans="2:14" x14ac:dyDescent="0.25">
      <c r="D124" t="str">
        <f>Materiales!A29</f>
        <v>ALAMRON PARA ESTRIBOS 1KL=3M</v>
      </c>
      <c r="E124" t="s">
        <v>246</v>
      </c>
      <c r="F124">
        <v>6.66</v>
      </c>
      <c r="G124" s="49">
        <f>Materiales!C29</f>
        <v>14</v>
      </c>
      <c r="H124" s="35">
        <f>8.64*F124</f>
        <v>57.542400000000008</v>
      </c>
    </row>
    <row r="125" spans="2:14" x14ac:dyDescent="0.25">
      <c r="D125" t="str">
        <f>D205</f>
        <v>ALAMBRE RECOCIDO</v>
      </c>
      <c r="E125" t="s">
        <v>87</v>
      </c>
      <c r="F125">
        <v>1.5</v>
      </c>
      <c r="G125" s="49">
        <f>Materiales!C18</f>
        <v>15</v>
      </c>
      <c r="H125" s="35">
        <f t="shared" si="2"/>
        <v>22.5</v>
      </c>
      <c r="I125">
        <f>F126*H109</f>
        <v>120.92999999999999</v>
      </c>
    </row>
    <row r="126" spans="2:14" x14ac:dyDescent="0.25">
      <c r="D126" t="str">
        <f>D206</f>
        <v>CLAVO 2"</v>
      </c>
      <c r="E126" t="s">
        <v>87</v>
      </c>
      <c r="F126">
        <v>1</v>
      </c>
      <c r="G126" s="49">
        <f>Materiales!E20</f>
        <v>20</v>
      </c>
      <c r="H126" s="35">
        <f t="shared" si="2"/>
        <v>20</v>
      </c>
      <c r="I126">
        <f>H109/50</f>
        <v>2.4185999999999996</v>
      </c>
    </row>
    <row r="127" spans="2:14" x14ac:dyDescent="0.25">
      <c r="D127" t="str">
        <f>D207</f>
        <v>DIESEL</v>
      </c>
      <c r="E127" t="s">
        <v>86</v>
      </c>
      <c r="F127">
        <v>1</v>
      </c>
      <c r="G127" s="35">
        <f>Materiales!C38</f>
        <v>14.54</v>
      </c>
      <c r="H127" s="35">
        <f t="shared" si="2"/>
        <v>14.54</v>
      </c>
      <c r="J127">
        <f>H109*F124</f>
        <v>805.39379999999994</v>
      </c>
    </row>
    <row r="128" spans="2:14" x14ac:dyDescent="0.25">
      <c r="D128" t="str">
        <f>D208</f>
        <v>AGUA</v>
      </c>
      <c r="E128" t="s">
        <v>86</v>
      </c>
      <c r="F128">
        <f>F118/10</f>
        <v>1.25</v>
      </c>
      <c r="G128" s="35">
        <f>Materiales!C28</f>
        <v>1</v>
      </c>
      <c r="H128" s="35">
        <f t="shared" si="2"/>
        <v>1.25</v>
      </c>
    </row>
    <row r="129" spans="1:8" x14ac:dyDescent="0.25">
      <c r="G129" s="35" t="s">
        <v>9</v>
      </c>
      <c r="H129" s="15">
        <f>H122+H121+H123+H124+H125+H126+H127+H128</f>
        <v>640.44330909090911</v>
      </c>
    </row>
    <row r="130" spans="1:8" x14ac:dyDescent="0.25">
      <c r="B130" s="40" t="s">
        <v>132</v>
      </c>
      <c r="G130" s="35"/>
      <c r="H130" s="15"/>
    </row>
    <row r="131" spans="1:8" ht="30" x14ac:dyDescent="0.25">
      <c r="C131" t="s">
        <v>89</v>
      </c>
      <c r="D131" s="1" t="str">
        <f>'Mano de Obra'!A9</f>
        <v>Zapata corida incluye mano de obra, cimbra, decimbra y herramienta</v>
      </c>
      <c r="E131" t="s">
        <v>139</v>
      </c>
      <c r="F131">
        <f>'Generador de obra'!J56</f>
        <v>120.92999999999999</v>
      </c>
      <c r="G131" s="15">
        <f>'Mano de Obra'!C9</f>
        <v>200</v>
      </c>
      <c r="H131" s="15">
        <f>F131*G131</f>
        <v>24186</v>
      </c>
    </row>
    <row r="134" spans="1:8" x14ac:dyDescent="0.25">
      <c r="A134" s="2"/>
      <c r="B134" s="150" t="str">
        <f>'Generador de obra'!B74</f>
        <v>Relleno de cepa: Utilizando el mismo material de excavacion, incluye ,mano de onbra y herramienta</v>
      </c>
      <c r="C134" s="150"/>
      <c r="D134" s="150"/>
      <c r="G134" t="s">
        <v>11</v>
      </c>
      <c r="H134" t="str">
        <f>E146</f>
        <v>M³</v>
      </c>
    </row>
    <row r="135" spans="1:8" x14ac:dyDescent="0.25">
      <c r="A135" s="2"/>
      <c r="B135" s="150"/>
      <c r="C135" s="150"/>
      <c r="D135" s="150"/>
      <c r="G135" t="s">
        <v>75</v>
      </c>
      <c r="H135">
        <f>F146</f>
        <v>48.372</v>
      </c>
    </row>
    <row r="136" spans="1:8" x14ac:dyDescent="0.25">
      <c r="A136" s="2"/>
      <c r="B136" s="150"/>
      <c r="C136" s="150"/>
      <c r="D136" s="150"/>
      <c r="G136" t="s">
        <v>76</v>
      </c>
      <c r="H136" s="39">
        <f>H143+G146</f>
        <v>90</v>
      </c>
    </row>
    <row r="137" spans="1:8" x14ac:dyDescent="0.25">
      <c r="A137" s="2"/>
      <c r="B137" s="150"/>
      <c r="C137" s="150"/>
      <c r="D137" s="150"/>
      <c r="G137" t="s">
        <v>12</v>
      </c>
      <c r="H137" s="42">
        <f>H135*H136</f>
        <v>4353.4799999999996</v>
      </c>
    </row>
    <row r="138" spans="1:8" x14ac:dyDescent="0.25">
      <c r="A138" s="137"/>
      <c r="B138" s="137" t="s">
        <v>2</v>
      </c>
      <c r="C138" s="137"/>
      <c r="D138" s="137" t="s">
        <v>79</v>
      </c>
      <c r="E138" s="137" t="s">
        <v>11</v>
      </c>
      <c r="F138" s="137" t="s">
        <v>75</v>
      </c>
      <c r="G138" s="137" t="s">
        <v>76</v>
      </c>
      <c r="H138" s="137" t="s">
        <v>12</v>
      </c>
    </row>
    <row r="139" spans="1:8" x14ac:dyDescent="0.25">
      <c r="B139" s="33" t="s">
        <v>78</v>
      </c>
      <c r="C139" s="28"/>
      <c r="D139" s="28"/>
      <c r="E139" s="28"/>
      <c r="F139" s="28"/>
      <c r="G139" s="28"/>
      <c r="H139" s="28"/>
    </row>
    <row r="140" spans="1:8" x14ac:dyDescent="0.25">
      <c r="B140" s="28"/>
      <c r="C140" s="28"/>
      <c r="D140" s="28" t="str">
        <f>Materiales!A40</f>
        <v>PALA</v>
      </c>
      <c r="E140" s="28" t="str">
        <f>Materiales!B40</f>
        <v>PZA</v>
      </c>
      <c r="F140" s="28">
        <f>0.04</f>
        <v>0.04</v>
      </c>
      <c r="G140" s="41">
        <f>Materiales!C40</f>
        <v>85</v>
      </c>
      <c r="H140" s="41">
        <f>G140*F140</f>
        <v>3.4</v>
      </c>
    </row>
    <row r="141" spans="1:8" x14ac:dyDescent="0.25">
      <c r="B141" s="28"/>
      <c r="C141" s="28"/>
      <c r="D141" s="28" t="str">
        <f>Materiales!A41</f>
        <v>PICO</v>
      </c>
      <c r="E141" s="28" t="str">
        <f>Materiales!B41</f>
        <v>PZA</v>
      </c>
      <c r="F141" s="28">
        <f>0.04</f>
        <v>0.04</v>
      </c>
      <c r="G141" s="41">
        <f>Materiales!C41</f>
        <v>215</v>
      </c>
      <c r="H141" s="41">
        <f>G141*F141</f>
        <v>8.6</v>
      </c>
    </row>
    <row r="142" spans="1:8" x14ac:dyDescent="0.25">
      <c r="B142" s="28"/>
      <c r="C142" s="28"/>
      <c r="D142" s="28" t="str">
        <f>Materiales!A42</f>
        <v>CARRETILLA</v>
      </c>
      <c r="E142" s="28" t="str">
        <f>Materiales!B42</f>
        <v>PZA</v>
      </c>
      <c r="F142" s="28">
        <f>0.04</f>
        <v>0.04</v>
      </c>
      <c r="G142" s="41">
        <f>Materiales!C42</f>
        <v>550</v>
      </c>
      <c r="H142" s="41">
        <f>G142*F142</f>
        <v>22</v>
      </c>
    </row>
    <row r="143" spans="1:8" x14ac:dyDescent="0.25">
      <c r="B143" s="28"/>
      <c r="C143" s="28"/>
      <c r="D143" s="28"/>
      <c r="E143" s="28"/>
      <c r="F143" s="28"/>
      <c r="G143" s="28" t="s">
        <v>9</v>
      </c>
      <c r="H143" s="55">
        <f>H140+H141+H142</f>
        <v>34</v>
      </c>
    </row>
    <row r="144" spans="1:8" x14ac:dyDescent="0.25">
      <c r="B144" s="28"/>
      <c r="C144" s="28"/>
      <c r="D144" s="28"/>
      <c r="E144" s="28"/>
      <c r="F144" s="28"/>
      <c r="G144" s="28"/>
      <c r="H144" s="28"/>
    </row>
    <row r="145" spans="1:12" x14ac:dyDescent="0.25">
      <c r="B145" s="40" t="s">
        <v>132</v>
      </c>
      <c r="C145" s="28"/>
      <c r="D145" s="28"/>
      <c r="E145" s="28"/>
      <c r="F145" s="28"/>
      <c r="G145" s="28"/>
      <c r="H145" s="28"/>
    </row>
    <row r="146" spans="1:12" ht="30" x14ac:dyDescent="0.25">
      <c r="B146" s="41"/>
      <c r="C146" s="28" t="s">
        <v>89</v>
      </c>
      <c r="D146" s="34" t="str">
        <f>'Mano de Obra'!A10</f>
        <v>Relleno compactado con pison de mano en cepas de .20 cm utilizando producto de la obra</v>
      </c>
      <c r="E146" s="28" t="str">
        <f>'Generador de obra'!K74</f>
        <v>M³</v>
      </c>
      <c r="F146" s="28">
        <f>'Generador de obra'!J74</f>
        <v>48.372</v>
      </c>
      <c r="G146" s="55">
        <f>'Mano de Obra'!C10</f>
        <v>56</v>
      </c>
      <c r="H146" s="55">
        <f>G146*F146</f>
        <v>2708.8319999999999</v>
      </c>
    </row>
    <row r="147" spans="1:12" x14ac:dyDescent="0.25">
      <c r="B147" s="41"/>
      <c r="C147" s="28"/>
      <c r="D147" s="34"/>
      <c r="E147" s="28"/>
      <c r="F147" s="28"/>
      <c r="G147" s="55"/>
      <c r="H147" s="55"/>
    </row>
    <row r="148" spans="1:12" x14ac:dyDescent="0.25">
      <c r="B148" s="41"/>
      <c r="C148" s="28"/>
      <c r="D148" s="34"/>
      <c r="E148" s="28"/>
      <c r="F148" s="28"/>
      <c r="G148" s="55"/>
      <c r="H148" s="55"/>
    </row>
    <row r="149" spans="1:12" x14ac:dyDescent="0.25">
      <c r="A149" s="158" t="s">
        <v>216</v>
      </c>
      <c r="B149" s="158"/>
      <c r="C149" s="158"/>
      <c r="D149" s="158"/>
      <c r="E149" s="48">
        <f>H137+H111+H89+H76</f>
        <v>128683.23042436363</v>
      </c>
      <c r="F149" s="28"/>
      <c r="G149" s="55"/>
      <c r="H149" s="55"/>
    </row>
    <row r="150" spans="1:12" x14ac:dyDescent="0.25">
      <c r="B150" s="41"/>
      <c r="C150" s="28"/>
      <c r="D150" s="28"/>
      <c r="E150" s="28"/>
      <c r="F150" s="28"/>
      <c r="G150" s="28"/>
      <c r="H150" s="28"/>
    </row>
    <row r="151" spans="1:12" s="28" customFormat="1" x14ac:dyDescent="0.25">
      <c r="A151" s="154" t="s">
        <v>198</v>
      </c>
      <c r="B151" s="154"/>
      <c r="C151" s="154"/>
      <c r="D151" s="154"/>
      <c r="E151" s="154"/>
      <c r="F151" s="154"/>
      <c r="G151" s="154"/>
      <c r="H151" s="154"/>
      <c r="I151" s="68"/>
      <c r="J151" s="68"/>
      <c r="K151" s="68"/>
      <c r="L151" s="68"/>
    </row>
    <row r="152" spans="1:12" x14ac:dyDescent="0.25">
      <c r="A152" s="2"/>
      <c r="B152" s="150" t="str">
        <f>'Generador de obra'!B93</f>
        <v>Excavacion para colocacion de tubo de P.v.c de 4'' con medidas de .30x.50  incluye mano de obra, herramienta para su correcta elaboracion.</v>
      </c>
      <c r="C152" s="150"/>
      <c r="D152" s="150"/>
      <c r="E152" s="28"/>
      <c r="F152" s="28"/>
      <c r="G152" t="s">
        <v>11</v>
      </c>
      <c r="H152" s="28" t="str">
        <f>E161</f>
        <v>M³</v>
      </c>
    </row>
    <row r="153" spans="1:12" x14ac:dyDescent="0.25">
      <c r="A153" s="2"/>
      <c r="B153" s="150"/>
      <c r="C153" s="150"/>
      <c r="D153" s="150"/>
      <c r="E153" s="28"/>
      <c r="F153" s="28"/>
      <c r="G153" t="s">
        <v>75</v>
      </c>
      <c r="H153" s="28">
        <f>F161</f>
        <v>0.75</v>
      </c>
    </row>
    <row r="154" spans="1:12" x14ac:dyDescent="0.25">
      <c r="A154" s="2"/>
      <c r="B154" s="150"/>
      <c r="C154" s="150"/>
      <c r="D154" s="150"/>
      <c r="E154" s="28"/>
      <c r="F154" s="28"/>
      <c r="G154" t="s">
        <v>76</v>
      </c>
      <c r="H154" s="41">
        <f>G161</f>
        <v>95</v>
      </c>
    </row>
    <row r="155" spans="1:12" x14ac:dyDescent="0.25">
      <c r="A155" s="2"/>
      <c r="B155" s="150"/>
      <c r="C155" s="150"/>
      <c r="D155" s="150"/>
      <c r="E155" s="28"/>
      <c r="F155" s="28"/>
      <c r="G155" t="s">
        <v>12</v>
      </c>
      <c r="H155" s="55">
        <f>H153*H154</f>
        <v>71.25</v>
      </c>
    </row>
    <row r="156" spans="1:12" x14ac:dyDescent="0.25">
      <c r="A156" s="136"/>
      <c r="B156" s="136" t="s">
        <v>2</v>
      </c>
      <c r="C156" s="136"/>
      <c r="D156" s="136" t="s">
        <v>79</v>
      </c>
      <c r="E156" s="136" t="s">
        <v>11</v>
      </c>
      <c r="F156" s="136" t="s">
        <v>75</v>
      </c>
      <c r="G156" s="136" t="s">
        <v>76</v>
      </c>
      <c r="H156" s="136" t="s">
        <v>12</v>
      </c>
    </row>
    <row r="157" spans="1:12" x14ac:dyDescent="0.25">
      <c r="B157" s="33" t="s">
        <v>78</v>
      </c>
      <c r="C157" s="28"/>
      <c r="D157" s="28"/>
      <c r="E157" s="28"/>
      <c r="F157" s="28"/>
      <c r="G157" s="28"/>
      <c r="H157" s="28"/>
    </row>
    <row r="158" spans="1:12" x14ac:dyDescent="0.25">
      <c r="B158" s="28"/>
      <c r="C158" s="28"/>
      <c r="G158" s="28"/>
      <c r="H158" s="28"/>
    </row>
    <row r="159" spans="1:12" x14ac:dyDescent="0.25">
      <c r="B159" s="28"/>
      <c r="C159" s="28"/>
      <c r="D159" s="28"/>
      <c r="E159" s="28"/>
      <c r="F159" s="28"/>
      <c r="G159" s="28"/>
      <c r="H159" s="28"/>
    </row>
    <row r="160" spans="1:12" x14ac:dyDescent="0.25">
      <c r="B160" s="40" t="s">
        <v>132</v>
      </c>
      <c r="C160" s="28"/>
      <c r="D160" s="28"/>
      <c r="E160" s="28"/>
      <c r="F160" s="28"/>
      <c r="G160" s="28"/>
      <c r="H160" s="28"/>
    </row>
    <row r="161" spans="1:8" ht="45" x14ac:dyDescent="0.25">
      <c r="B161" s="41"/>
      <c r="C161" s="28" t="s">
        <v>89</v>
      </c>
      <c r="D161" s="34" t="str">
        <f>'Mano de Obra'!A7</f>
        <v>Excavacion a mano en cepa, incluye afine de taludes y fondo, en material seco, tipo II con pronfundidad de 0.00 a 2.00m  incluye mano de obra y herramienta</v>
      </c>
      <c r="E161" s="28" t="str">
        <f>'Generador de obra'!K93</f>
        <v>M³</v>
      </c>
      <c r="F161" s="28">
        <f>'Generador de obra'!J93</f>
        <v>0.75</v>
      </c>
      <c r="G161" s="79">
        <f>'Mano de Obra'!C7</f>
        <v>95</v>
      </c>
      <c r="H161" s="79">
        <f>G161*F161</f>
        <v>71.25</v>
      </c>
    </row>
    <row r="162" spans="1:8" x14ac:dyDescent="0.25">
      <c r="B162" s="28"/>
      <c r="C162" s="28"/>
      <c r="D162" s="28"/>
      <c r="E162" s="28"/>
      <c r="F162" s="28"/>
      <c r="G162" s="28"/>
      <c r="H162" s="28"/>
    </row>
    <row r="163" spans="1:8" x14ac:dyDescent="0.25">
      <c r="A163" s="2"/>
      <c r="B163" s="150" t="str">
        <f>'Generador de obra'!B94</f>
        <v xml:space="preserve">Tendido de Tubo de P.v.c de 4'' incluye mano de obra, herramienta y material para su correcta instalacion </v>
      </c>
      <c r="C163" s="150"/>
      <c r="D163" s="150"/>
      <c r="E163" s="28"/>
      <c r="F163" s="28"/>
      <c r="G163" t="s">
        <v>11</v>
      </c>
      <c r="H163" s="28" t="str">
        <f>E169</f>
        <v>Ml</v>
      </c>
    </row>
    <row r="164" spans="1:8" x14ac:dyDescent="0.25">
      <c r="A164" s="2"/>
      <c r="B164" s="150"/>
      <c r="C164" s="150"/>
      <c r="D164" s="150"/>
      <c r="E164" s="28"/>
      <c r="F164" s="28"/>
      <c r="G164" t="s">
        <v>75</v>
      </c>
      <c r="H164">
        <f>F169</f>
        <v>21.8</v>
      </c>
    </row>
    <row r="165" spans="1:8" x14ac:dyDescent="0.25">
      <c r="A165" s="2"/>
      <c r="B165" s="150"/>
      <c r="C165" s="150"/>
      <c r="D165" s="150"/>
      <c r="E165" s="28"/>
      <c r="F165" s="28"/>
      <c r="G165" t="s">
        <v>76</v>
      </c>
      <c r="H165" s="41">
        <f>G169+G174</f>
        <v>121.66666666666667</v>
      </c>
    </row>
    <row r="166" spans="1:8" x14ac:dyDescent="0.25">
      <c r="A166" s="2"/>
      <c r="B166" s="150"/>
      <c r="C166" s="150"/>
      <c r="D166" s="150"/>
      <c r="E166" s="28"/>
      <c r="F166" s="28"/>
      <c r="G166" t="s">
        <v>12</v>
      </c>
      <c r="H166" s="55">
        <f>H165*H164+H170+H171+H172</f>
        <v>2718.3333333333335</v>
      </c>
    </row>
    <row r="167" spans="1:8" x14ac:dyDescent="0.25">
      <c r="B167" s="28" t="s">
        <v>2</v>
      </c>
      <c r="C167" s="28"/>
      <c r="D167" s="28" t="s">
        <v>79</v>
      </c>
      <c r="E167" s="28" t="s">
        <v>11</v>
      </c>
      <c r="F167" s="28" t="s">
        <v>75</v>
      </c>
      <c r="G167" s="28" t="s">
        <v>76</v>
      </c>
      <c r="H167" s="28" t="s">
        <v>12</v>
      </c>
    </row>
    <row r="168" spans="1:8" x14ac:dyDescent="0.25">
      <c r="B168" s="33" t="s">
        <v>78</v>
      </c>
    </row>
    <row r="169" spans="1:8" x14ac:dyDescent="0.25">
      <c r="D169" t="str">
        <f>Materiales!A49</f>
        <v xml:space="preserve">TUBO PVC 4'' </v>
      </c>
      <c r="E169" t="s">
        <v>139</v>
      </c>
      <c r="F169">
        <f>'Generador de obra'!J94</f>
        <v>21.8</v>
      </c>
      <c r="G169" s="39">
        <f>Materiales!C49/6</f>
        <v>26.666666666666668</v>
      </c>
      <c r="H169" s="39">
        <f>F169*G169</f>
        <v>581.33333333333337</v>
      </c>
    </row>
    <row r="170" spans="1:8" x14ac:dyDescent="0.25">
      <c r="D170" t="str">
        <f>Materiales!A48</f>
        <v>CODO PVC 4'' X90</v>
      </c>
      <c r="E170" t="s">
        <v>88</v>
      </c>
      <c r="F170">
        <v>3</v>
      </c>
      <c r="G170" s="39">
        <f>Materiales!C48</f>
        <v>10</v>
      </c>
      <c r="H170" s="39">
        <f>F170*G170</f>
        <v>30</v>
      </c>
    </row>
    <row r="171" spans="1:8" x14ac:dyDescent="0.25">
      <c r="D171" t="str">
        <f>Materiales!A46</f>
        <v>YEE PVC4''</v>
      </c>
      <c r="E171" t="s">
        <v>88</v>
      </c>
      <c r="F171">
        <v>1</v>
      </c>
      <c r="G171" s="39">
        <f>Materiales!C46</f>
        <v>30</v>
      </c>
      <c r="H171" s="39">
        <f>F171*G171</f>
        <v>30</v>
      </c>
    </row>
    <row r="172" spans="1:8" x14ac:dyDescent="0.25">
      <c r="D172" t="str">
        <f>Materiales!A45</f>
        <v>TEE PVC 4''</v>
      </c>
      <c r="E172" t="s">
        <v>88</v>
      </c>
      <c r="F172">
        <v>1</v>
      </c>
      <c r="G172" s="39">
        <f>Materiales!C45</f>
        <v>6</v>
      </c>
      <c r="H172" s="39">
        <f>F172*G172</f>
        <v>6</v>
      </c>
    </row>
    <row r="173" spans="1:8" x14ac:dyDescent="0.25">
      <c r="B173" s="40" t="s">
        <v>132</v>
      </c>
      <c r="C173" s="28"/>
      <c r="D173" s="28"/>
      <c r="E173" s="28"/>
      <c r="F173" s="28"/>
      <c r="G173" s="28"/>
      <c r="H173" s="28"/>
    </row>
    <row r="174" spans="1:8" ht="30" x14ac:dyDescent="0.25">
      <c r="B174" s="41"/>
      <c r="C174" s="28" t="s">
        <v>89</v>
      </c>
      <c r="D174" s="34" t="str">
        <f>'Mano de Obra'!A21</f>
        <v>Instalacion de W.C. incluye mano de obra y herramienta para su correcta colocacion</v>
      </c>
      <c r="E174" s="28" t="str">
        <f>'Generador de obra'!K94</f>
        <v>Ml</v>
      </c>
      <c r="F174" s="28">
        <f>'Generador de obra'!J94</f>
        <v>21.8</v>
      </c>
      <c r="G174" s="79">
        <f>G161</f>
        <v>95</v>
      </c>
      <c r="H174" s="55">
        <f>F174*G174</f>
        <v>2071</v>
      </c>
    </row>
    <row r="176" spans="1:8" x14ac:dyDescent="0.25">
      <c r="B176" s="150" t="str">
        <f>'Generador de obra'!B95</f>
        <v>Registro de sanitario: Con medida de 40x60 de Tabique 10 x 14 x 28 asentado con mortero  arena  con junta de 1.5cm  incluye mano de obra y todo para su correcta elaboracion</v>
      </c>
      <c r="C176" s="150"/>
      <c r="D176" s="150"/>
      <c r="G176" t="s">
        <v>11</v>
      </c>
      <c r="H176" t="str">
        <f>'Generador de obra'!K95</f>
        <v>Pza</v>
      </c>
    </row>
    <row r="177" spans="1:12" x14ac:dyDescent="0.25">
      <c r="B177" s="150"/>
      <c r="C177" s="150"/>
      <c r="D177" s="150"/>
      <c r="G177" t="s">
        <v>75</v>
      </c>
      <c r="H177">
        <f>'Generador de obra'!J95</f>
        <v>2</v>
      </c>
    </row>
    <row r="178" spans="1:12" x14ac:dyDescent="0.25">
      <c r="B178" s="150"/>
      <c r="C178" s="150"/>
      <c r="D178" s="150"/>
      <c r="G178" t="s">
        <v>76</v>
      </c>
      <c r="H178" s="15">
        <f>600</f>
        <v>600</v>
      </c>
    </row>
    <row r="179" spans="1:12" x14ac:dyDescent="0.25">
      <c r="B179" s="150"/>
      <c r="C179" s="150"/>
      <c r="D179" s="150"/>
      <c r="G179" t="s">
        <v>12</v>
      </c>
      <c r="H179" s="42">
        <f>H177*H178</f>
        <v>1200</v>
      </c>
    </row>
    <row r="182" spans="1:12" x14ac:dyDescent="0.25">
      <c r="A182" s="158" t="s">
        <v>346</v>
      </c>
      <c r="B182" s="158"/>
      <c r="C182" s="158"/>
      <c r="D182" s="158"/>
      <c r="E182" s="48">
        <f>H179+H155+H166</f>
        <v>3989.5833333333335</v>
      </c>
    </row>
    <row r="187" spans="1:12" x14ac:dyDescent="0.25">
      <c r="A187" s="140" t="s">
        <v>24</v>
      </c>
      <c r="B187" s="140"/>
      <c r="C187" s="140"/>
      <c r="D187" s="140"/>
      <c r="E187" s="140"/>
      <c r="F187" s="140"/>
      <c r="G187" s="140"/>
      <c r="H187" s="140"/>
      <c r="I187" s="140"/>
      <c r="J187" s="140"/>
      <c r="K187" s="140"/>
      <c r="L187" s="140"/>
    </row>
    <row r="188" spans="1:12" x14ac:dyDescent="0.25">
      <c r="A188" s="2"/>
      <c r="B188" s="150" t="str">
        <f>'Generador de obra'!B98</f>
        <v>Losa: Colada en sitio con un concreto de F'c 250kg/m² de 12 cm de espesor armada con varilla del #3 incluye colado, cimbra, decimbra, mano de obra y todos materiales para su correcta fabricacion</v>
      </c>
      <c r="C188" s="150"/>
      <c r="D188" s="150"/>
      <c r="G188" t="s">
        <v>11</v>
      </c>
      <c r="H188" s="22" t="str">
        <f>'Generador de obra'!K98</f>
        <v>M²</v>
      </c>
    </row>
    <row r="189" spans="1:12" x14ac:dyDescent="0.25">
      <c r="A189" s="2"/>
      <c r="B189" s="150"/>
      <c r="C189" s="150"/>
      <c r="D189" s="150"/>
      <c r="G189" t="s">
        <v>75</v>
      </c>
      <c r="H189">
        <f>'Generador de obra'!J98</f>
        <v>82.61</v>
      </c>
    </row>
    <row r="190" spans="1:12" x14ac:dyDescent="0.25">
      <c r="A190" s="2"/>
      <c r="B190" s="150"/>
      <c r="C190" s="150"/>
      <c r="D190" s="150"/>
      <c r="G190" t="s">
        <v>76</v>
      </c>
      <c r="H190" s="35">
        <f>H209+H212</f>
        <v>937.08999999999992</v>
      </c>
    </row>
    <row r="191" spans="1:12" x14ac:dyDescent="0.25">
      <c r="A191" s="2"/>
      <c r="B191" s="150"/>
      <c r="C191" s="150"/>
      <c r="D191" s="150"/>
      <c r="G191" t="s">
        <v>12</v>
      </c>
      <c r="H191" s="15">
        <f>H190*H189</f>
        <v>77413.0049</v>
      </c>
    </row>
    <row r="192" spans="1:12" x14ac:dyDescent="0.25">
      <c r="A192" s="136"/>
      <c r="B192" s="136" t="s">
        <v>2</v>
      </c>
      <c r="C192" s="136"/>
      <c r="D192" s="136" t="s">
        <v>79</v>
      </c>
      <c r="E192" s="136" t="s">
        <v>11</v>
      </c>
      <c r="F192" s="136" t="s">
        <v>75</v>
      </c>
      <c r="G192" s="136" t="s">
        <v>76</v>
      </c>
      <c r="H192" s="136" t="s">
        <v>12</v>
      </c>
    </row>
    <row r="193" spans="2:12" x14ac:dyDescent="0.25">
      <c r="B193" s="33" t="s">
        <v>78</v>
      </c>
    </row>
    <row r="194" spans="2:12" x14ac:dyDescent="0.25">
      <c r="B194" s="33"/>
      <c r="D194" t="s">
        <v>169</v>
      </c>
      <c r="E194" t="s">
        <v>23</v>
      </c>
      <c r="I194" s="98" t="s">
        <v>139</v>
      </c>
      <c r="J194" s="98" t="s">
        <v>498</v>
      </c>
      <c r="K194" s="98" t="s">
        <v>504</v>
      </c>
      <c r="L194" s="98"/>
    </row>
    <row r="195" spans="2:12" x14ac:dyDescent="0.25">
      <c r="D195" t="str">
        <f>Materiales!A5</f>
        <v>CEMENTO CRUZ AZUL</v>
      </c>
      <c r="E195" t="s">
        <v>80</v>
      </c>
      <c r="F195">
        <v>8</v>
      </c>
      <c r="G195" s="35">
        <f>Materiales!E5</f>
        <v>120</v>
      </c>
      <c r="H195" s="35">
        <f>G195*F195</f>
        <v>960</v>
      </c>
      <c r="I195">
        <f>F195*0.12</f>
        <v>0.96</v>
      </c>
      <c r="J195">
        <f>I195*H189</f>
        <v>79.305599999999998</v>
      </c>
      <c r="K195">
        <f>5.33*I195*4</f>
        <v>20.467199999999998</v>
      </c>
      <c r="L195">
        <f>K195/20</f>
        <v>1.0233599999999998</v>
      </c>
    </row>
    <row r="196" spans="2:12" x14ac:dyDescent="0.25">
      <c r="D196" t="str">
        <f>Materiales!A25</f>
        <v xml:space="preserve">ARENA </v>
      </c>
      <c r="E196" t="s">
        <v>81</v>
      </c>
      <c r="F196">
        <v>28.5</v>
      </c>
      <c r="G196" s="35">
        <f>Materiales!F25</f>
        <v>7</v>
      </c>
      <c r="H196" s="35">
        <f>G196*F196</f>
        <v>199.5</v>
      </c>
      <c r="I196">
        <f>F196*0.12</f>
        <v>3.42</v>
      </c>
      <c r="J196">
        <f>I196*H189</f>
        <v>282.52620000000002</v>
      </c>
      <c r="K196">
        <f>5.33*I196*4</f>
        <v>72.914400000000001</v>
      </c>
      <c r="L196">
        <f>K196/40</f>
        <v>1.8228599999999999</v>
      </c>
    </row>
    <row r="197" spans="2:12" x14ac:dyDescent="0.25">
      <c r="D197" t="str">
        <f>Materiales!A26</f>
        <v>GRAVA</v>
      </c>
      <c r="E197" t="s">
        <v>81</v>
      </c>
      <c r="F197">
        <v>34</v>
      </c>
      <c r="G197" s="35">
        <f>Materiales!F26</f>
        <v>14</v>
      </c>
      <c r="H197" s="35">
        <f>G197*F197</f>
        <v>476</v>
      </c>
      <c r="I197">
        <f>F197*0.12</f>
        <v>4.08</v>
      </c>
      <c r="J197">
        <f>I197*H189</f>
        <v>337.04880000000003</v>
      </c>
      <c r="K197">
        <f>5.33*I197*4</f>
        <v>86.985600000000005</v>
      </c>
      <c r="L197">
        <f>K197/40</f>
        <v>2.1746400000000001</v>
      </c>
    </row>
    <row r="198" spans="2:12" x14ac:dyDescent="0.25">
      <c r="D198" t="str">
        <f>Materiales!A28</f>
        <v>AGUA</v>
      </c>
      <c r="E198" t="s">
        <v>81</v>
      </c>
      <c r="F198">
        <v>12.5</v>
      </c>
      <c r="G198" s="35">
        <f>Materiales!C28</f>
        <v>1</v>
      </c>
      <c r="H198" s="35">
        <f>G198*F198</f>
        <v>12.5</v>
      </c>
      <c r="I198">
        <f>F198*0.12</f>
        <v>1.5</v>
      </c>
      <c r="J198">
        <f>I198*H189</f>
        <v>123.91499999999999</v>
      </c>
      <c r="K198">
        <f>5.33*I198*4</f>
        <v>31.98</v>
      </c>
      <c r="L198">
        <f>K198/1000</f>
        <v>3.1980000000000001E-2</v>
      </c>
    </row>
    <row r="199" spans="2:12" x14ac:dyDescent="0.25">
      <c r="G199" s="35" t="s">
        <v>9</v>
      </c>
      <c r="H199" s="15">
        <f>H195+H196+H197+H198</f>
        <v>1648</v>
      </c>
    </row>
    <row r="200" spans="2:12" x14ac:dyDescent="0.25">
      <c r="D200" t="str">
        <f>E201</f>
        <v>M²</v>
      </c>
      <c r="G200" s="35"/>
      <c r="H200" s="35"/>
      <c r="I200" s="98" t="s">
        <v>12</v>
      </c>
      <c r="J200" s="22"/>
    </row>
    <row r="201" spans="2:12" ht="17.25" x14ac:dyDescent="0.25">
      <c r="D201" t="s">
        <v>221</v>
      </c>
      <c r="E201" t="str">
        <f>H188</f>
        <v>M²</v>
      </c>
      <c r="F201">
        <v>1</v>
      </c>
      <c r="G201" s="35">
        <f>H199/10</f>
        <v>164.8</v>
      </c>
      <c r="H201" s="35">
        <f>G201*F201</f>
        <v>164.8</v>
      </c>
    </row>
    <row r="202" spans="2:12" x14ac:dyDescent="0.25">
      <c r="D202" t="str">
        <f>Materiales!A9</f>
        <v>VARILLA 3/8</v>
      </c>
      <c r="E202" t="s">
        <v>34</v>
      </c>
      <c r="F202">
        <v>1</v>
      </c>
      <c r="G202" s="35">
        <f>Materiales!E9</f>
        <v>84</v>
      </c>
      <c r="H202" s="35">
        <f t="shared" ref="H202:H208" si="3">G202*F202</f>
        <v>84</v>
      </c>
      <c r="I202">
        <f>F202*H189</f>
        <v>82.61</v>
      </c>
    </row>
    <row r="203" spans="2:12" x14ac:dyDescent="0.25">
      <c r="D203" t="str">
        <f>Materiales!A36</f>
        <v>TARIMA .5X1.00</v>
      </c>
      <c r="E203" t="s">
        <v>34</v>
      </c>
      <c r="F203">
        <v>2</v>
      </c>
      <c r="G203" s="35">
        <f>Materiales!C36</f>
        <v>45</v>
      </c>
      <c r="H203" s="35">
        <f t="shared" si="3"/>
        <v>90</v>
      </c>
    </row>
    <row r="204" spans="2:12" x14ac:dyDescent="0.25">
      <c r="D204" t="str">
        <f>Materiales!A37</f>
        <v>POLIN 4X4 2.5</v>
      </c>
      <c r="E204" t="s">
        <v>34</v>
      </c>
      <c r="F204">
        <v>4</v>
      </c>
      <c r="G204" s="35">
        <f>Materiales!C37</f>
        <v>60</v>
      </c>
      <c r="H204" s="35">
        <f t="shared" si="3"/>
        <v>240</v>
      </c>
    </row>
    <row r="205" spans="2:12" x14ac:dyDescent="0.25">
      <c r="D205" t="str">
        <f>Materiales!A18</f>
        <v>ALAMBRE RECOCIDO</v>
      </c>
      <c r="E205" t="s">
        <v>87</v>
      </c>
      <c r="F205">
        <v>1.5</v>
      </c>
      <c r="G205" s="35">
        <f>Materiales!C18</f>
        <v>15</v>
      </c>
      <c r="H205" s="35">
        <f t="shared" si="3"/>
        <v>22.5</v>
      </c>
    </row>
    <row r="206" spans="2:12" x14ac:dyDescent="0.25">
      <c r="D206" s="19" t="str">
        <f>Materiales!A20</f>
        <v>CLAVO 2"</v>
      </c>
      <c r="E206" t="s">
        <v>87</v>
      </c>
      <c r="F206">
        <v>1</v>
      </c>
      <c r="G206" s="35">
        <f>Materiales!E20</f>
        <v>20</v>
      </c>
      <c r="H206" s="35">
        <f t="shared" si="3"/>
        <v>20</v>
      </c>
      <c r="I206">
        <f>F206*H189/50</f>
        <v>1.6521999999999999</v>
      </c>
    </row>
    <row r="207" spans="2:12" x14ac:dyDescent="0.25">
      <c r="D207" t="str">
        <f>Materiales!A38</f>
        <v>DIESEL</v>
      </c>
      <c r="E207" t="s">
        <v>86</v>
      </c>
      <c r="F207">
        <v>1</v>
      </c>
      <c r="G207" s="35">
        <f>Materiales!C38</f>
        <v>14.54</v>
      </c>
      <c r="H207" s="35">
        <f t="shared" si="3"/>
        <v>14.54</v>
      </c>
    </row>
    <row r="208" spans="2:12" x14ac:dyDescent="0.25">
      <c r="D208" t="str">
        <f>Materiales!A28</f>
        <v>AGUA</v>
      </c>
      <c r="E208" t="s">
        <v>86</v>
      </c>
      <c r="F208">
        <f>F198/10</f>
        <v>1.25</v>
      </c>
      <c r="G208" s="35">
        <f>Materiales!C28</f>
        <v>1</v>
      </c>
      <c r="H208" s="35">
        <f t="shared" si="3"/>
        <v>1.25</v>
      </c>
    </row>
    <row r="209" spans="1:12" x14ac:dyDescent="0.25">
      <c r="G209" s="35" t="s">
        <v>9</v>
      </c>
      <c r="H209" s="15">
        <f>H202+H201+H203+H204+H205+H206+H207+H208</f>
        <v>637.08999999999992</v>
      </c>
    </row>
    <row r="211" spans="1:12" x14ac:dyDescent="0.25">
      <c r="B211" s="33" t="s">
        <v>77</v>
      </c>
    </row>
    <row r="212" spans="1:12" ht="45" x14ac:dyDescent="0.25">
      <c r="C212" t="s">
        <v>89</v>
      </c>
      <c r="D212" s="1" t="str">
        <f>'Mano de Obra'!A14</f>
        <v>Elaboracion de losa de concreto armado con espesor de 10 cms, mano de obra incluye herramienta, cimbra y decimbra</v>
      </c>
      <c r="E212" t="str">
        <f>'Mano de Obra'!B14</f>
        <v>M²</v>
      </c>
      <c r="F212">
        <v>1</v>
      </c>
      <c r="G212" s="35">
        <f>'Mano de Obra'!C14</f>
        <v>300</v>
      </c>
      <c r="H212" s="15">
        <f>F212*G212</f>
        <v>300</v>
      </c>
    </row>
    <row r="213" spans="1:12" x14ac:dyDescent="0.25">
      <c r="D213" s="1"/>
      <c r="G213" s="35"/>
      <c r="H213" s="15"/>
    </row>
    <row r="214" spans="1:12" x14ac:dyDescent="0.25">
      <c r="D214" s="1"/>
      <c r="G214" s="35"/>
      <c r="H214" s="15"/>
    </row>
    <row r="215" spans="1:12" x14ac:dyDescent="0.25">
      <c r="A215" s="158" t="s">
        <v>240</v>
      </c>
      <c r="B215" s="158"/>
      <c r="C215" s="158"/>
      <c r="D215" s="158"/>
      <c r="E215" s="48">
        <f>H191</f>
        <v>77413.0049</v>
      </c>
      <c r="G215" s="35"/>
      <c r="H215" s="15"/>
    </row>
    <row r="217" spans="1:12" s="28" customFormat="1" x14ac:dyDescent="0.25">
      <c r="A217" s="68" t="s">
        <v>31</v>
      </c>
      <c r="B217" s="68"/>
      <c r="C217" s="68"/>
      <c r="D217" s="68"/>
      <c r="E217" s="68"/>
      <c r="F217" s="68"/>
      <c r="G217" s="68"/>
      <c r="H217" s="68"/>
      <c r="I217" s="68"/>
      <c r="J217" s="68"/>
      <c r="K217" s="68"/>
      <c r="L217" s="68"/>
    </row>
    <row r="218" spans="1:12" x14ac:dyDescent="0.25">
      <c r="A218" s="6"/>
      <c r="B218" s="150" t="str">
        <f>'Generador de obra'!B104</f>
        <v>Muros de carga: Tabique 6 x 12 x 24 asentado con mortero arena  con junta de 1.5cm con una altura de 2.5 con aplanado de mortero 1:5 incluye mano de obra, herramienta y todo lo necesario para su fabricacion.</v>
      </c>
      <c r="C218" s="150"/>
      <c r="D218" s="150"/>
      <c r="G218" t="s">
        <v>11</v>
      </c>
      <c r="H218" t="str">
        <f>'Generador de obra'!K104</f>
        <v>M²</v>
      </c>
    </row>
    <row r="219" spans="1:12" x14ac:dyDescent="0.25">
      <c r="A219" s="2"/>
      <c r="B219" s="150"/>
      <c r="C219" s="150"/>
      <c r="D219" s="150"/>
      <c r="G219" t="s">
        <v>75</v>
      </c>
      <c r="H219">
        <f>'Generador de obra'!J104</f>
        <v>471.34000000000003</v>
      </c>
    </row>
    <row r="220" spans="1:12" x14ac:dyDescent="0.25">
      <c r="A220" s="2"/>
      <c r="B220" s="150"/>
      <c r="C220" s="150"/>
      <c r="D220" s="150"/>
      <c r="G220" t="s">
        <v>76</v>
      </c>
      <c r="H220" s="19">
        <f>H224+G226+G227+G229</f>
        <v>257.14067973856208</v>
      </c>
    </row>
    <row r="221" spans="1:12" x14ac:dyDescent="0.25">
      <c r="A221" s="2"/>
      <c r="B221" s="150"/>
      <c r="C221" s="150"/>
      <c r="D221" s="150"/>
      <c r="G221" t="s">
        <v>12</v>
      </c>
      <c r="H221" s="56">
        <f>H219*H220</f>
        <v>121200.68798797386</v>
      </c>
    </row>
    <row r="222" spans="1:12" x14ac:dyDescent="0.25">
      <c r="B222" s="28" t="s">
        <v>2</v>
      </c>
      <c r="C222" s="28"/>
      <c r="D222" s="28" t="s">
        <v>79</v>
      </c>
      <c r="E222" s="28" t="s">
        <v>11</v>
      </c>
      <c r="F222" s="28" t="s">
        <v>75</v>
      </c>
      <c r="G222" s="28" t="s">
        <v>76</v>
      </c>
      <c r="H222" s="28" t="s">
        <v>12</v>
      </c>
    </row>
    <row r="223" spans="1:12" x14ac:dyDescent="0.25">
      <c r="B223" s="33" t="s">
        <v>78</v>
      </c>
    </row>
    <row r="224" spans="1:12" x14ac:dyDescent="0.25">
      <c r="D224" t="str">
        <f>Materiales!A23</f>
        <v>TABIQUE ROJO 6X12X24</v>
      </c>
      <c r="E224" t="str">
        <f>H218</f>
        <v>M²</v>
      </c>
      <c r="F224">
        <f>I224*J224</f>
        <v>52.287581699346404</v>
      </c>
      <c r="G224" s="19">
        <f>Materiales!C23</f>
        <v>2.2000000000000002</v>
      </c>
      <c r="H224" s="56">
        <f>F224*G224</f>
        <v>115.03267973856209</v>
      </c>
      <c r="I224">
        <f>100/7.5</f>
        <v>13.333333333333334</v>
      </c>
      <c r="J224">
        <f>100/25.5</f>
        <v>3.9215686274509802</v>
      </c>
    </row>
    <row r="225" spans="1:11" x14ac:dyDescent="0.25">
      <c r="D225" t="s">
        <v>212</v>
      </c>
    </row>
    <row r="226" spans="1:11" x14ac:dyDescent="0.25">
      <c r="D226" t="s">
        <v>213</v>
      </c>
      <c r="E226" t="str">
        <f>E224</f>
        <v>M²</v>
      </c>
      <c r="F226">
        <f>H219</f>
        <v>471.34000000000003</v>
      </c>
      <c r="G226" s="42">
        <f>H97/150</f>
        <v>8.8431999999999995</v>
      </c>
      <c r="H226" s="42">
        <f>G226*F226</f>
        <v>4168.1538879999998</v>
      </c>
    </row>
    <row r="227" spans="1:11" x14ac:dyDescent="0.25">
      <c r="D227" t="s">
        <v>214</v>
      </c>
      <c r="E227" t="str">
        <f>E226</f>
        <v>M²</v>
      </c>
      <c r="F227">
        <f>F226</f>
        <v>471.34000000000003</v>
      </c>
      <c r="G227" s="42">
        <f>H97/100</f>
        <v>13.264800000000001</v>
      </c>
      <c r="H227" s="42">
        <f>G227*F227</f>
        <v>6252.2308320000011</v>
      </c>
    </row>
    <row r="229" spans="1:11" x14ac:dyDescent="0.25">
      <c r="B229" s="44" t="s">
        <v>132</v>
      </c>
      <c r="C229" t="s">
        <v>89</v>
      </c>
      <c r="D229" t="str">
        <f>'Mano de Obra'!A11</f>
        <v>Elaboracion de muro de tabique 7X14X24</v>
      </c>
      <c r="E229" t="str">
        <f>'Generador de obra'!K104</f>
        <v>M²</v>
      </c>
      <c r="F229">
        <f>'Generador de obra'!J104</f>
        <v>471.34000000000003</v>
      </c>
      <c r="G229" s="42">
        <f>'Mano de Obra'!C11</f>
        <v>120</v>
      </c>
      <c r="H229" s="42">
        <f>F229*G229</f>
        <v>56560.800000000003</v>
      </c>
    </row>
    <row r="230" spans="1:11" x14ac:dyDescent="0.25">
      <c r="A230" s="28"/>
      <c r="B230" s="69"/>
      <c r="G230" s="42"/>
      <c r="H230" s="42"/>
    </row>
    <row r="231" spans="1:11" x14ac:dyDescent="0.25">
      <c r="A231" s="28"/>
      <c r="B231" s="162" t="str">
        <f>'Generador de obra'!B139</f>
        <v>Pretil: Tabique 6 x 12 x 24 asentado con mortero arena  con junta de 1.5cm con una altura de 2.5 con aplanado de mortero 1:5 incluye mano de obra, herramienta y todo lo necesario para su fabricacion.</v>
      </c>
      <c r="C231" s="162"/>
      <c r="D231" s="162"/>
      <c r="G231" t="s">
        <v>11</v>
      </c>
      <c r="H231" t="str">
        <f>E237</f>
        <v>M²</v>
      </c>
    </row>
    <row r="232" spans="1:11" x14ac:dyDescent="0.25">
      <c r="A232" s="28"/>
      <c r="B232" s="162"/>
      <c r="C232" s="162"/>
      <c r="D232" s="162"/>
      <c r="G232" t="s">
        <v>75</v>
      </c>
      <c r="H232" s="70">
        <f>'Generador de obra'!J139</f>
        <v>26.235000000000003</v>
      </c>
    </row>
    <row r="233" spans="1:11" x14ac:dyDescent="0.25">
      <c r="A233" s="28"/>
      <c r="B233" s="162"/>
      <c r="C233" s="162"/>
      <c r="D233" s="162"/>
      <c r="G233" t="s">
        <v>76</v>
      </c>
      <c r="H233" s="42">
        <f>G242+G240+G239+H237</f>
        <v>257.14067973856208</v>
      </c>
    </row>
    <row r="234" spans="1:11" x14ac:dyDescent="0.25">
      <c r="A234" s="28"/>
      <c r="B234" s="162"/>
      <c r="C234" s="162"/>
      <c r="D234" s="162"/>
      <c r="G234" t="s">
        <v>12</v>
      </c>
      <c r="H234" s="15">
        <f>H232*H233</f>
        <v>6746.0857329411774</v>
      </c>
    </row>
    <row r="235" spans="1:11" x14ac:dyDescent="0.25">
      <c r="A235" s="137"/>
      <c r="B235" s="137" t="s">
        <v>2</v>
      </c>
      <c r="C235" s="137"/>
      <c r="D235" s="137" t="s">
        <v>79</v>
      </c>
      <c r="E235" s="137" t="s">
        <v>11</v>
      </c>
      <c r="F235" s="137" t="s">
        <v>75</v>
      </c>
      <c r="G235" s="137" t="s">
        <v>76</v>
      </c>
      <c r="H235" s="137" t="s">
        <v>12</v>
      </c>
      <c r="I235" s="137"/>
      <c r="J235" s="57">
        <f>H232*J237</f>
        <v>19204.705882352944</v>
      </c>
    </row>
    <row r="236" spans="1:11" x14ac:dyDescent="0.25">
      <c r="A236" s="28"/>
      <c r="B236" s="33" t="s">
        <v>78</v>
      </c>
      <c r="G236" s="42"/>
      <c r="H236" s="42"/>
    </row>
    <row r="237" spans="1:11" x14ac:dyDescent="0.25">
      <c r="A237" s="28"/>
      <c r="B237" s="69"/>
      <c r="D237" t="str">
        <f>D224</f>
        <v>TABIQUE ROJO 6X12X24</v>
      </c>
      <c r="E237" t="str">
        <f>E224</f>
        <v>M²</v>
      </c>
      <c r="F237">
        <f>F224</f>
        <v>52.287581699346404</v>
      </c>
      <c r="G237">
        <f>G224</f>
        <v>2.2000000000000002</v>
      </c>
      <c r="H237">
        <f>H224</f>
        <v>115.03267973856209</v>
      </c>
      <c r="J237">
        <f>F237*14</f>
        <v>732.02614379084969</v>
      </c>
      <c r="K237">
        <f>J237/1000</f>
        <v>0.73202614379084974</v>
      </c>
    </row>
    <row r="238" spans="1:11" x14ac:dyDescent="0.25">
      <c r="A238" s="28"/>
      <c r="B238" s="69"/>
      <c r="D238" t="str">
        <f>D225</f>
        <v>(INCLUYE JUNTAJUNTA DE 1.5 CM)</v>
      </c>
      <c r="G238" s="42"/>
      <c r="H238" s="42"/>
      <c r="J238">
        <f>J237*11/1000</f>
        <v>8.0522875816993462</v>
      </c>
    </row>
    <row r="239" spans="1:11" x14ac:dyDescent="0.25">
      <c r="A239" s="28"/>
      <c r="B239" s="69"/>
      <c r="D239" t="str">
        <f>D226</f>
        <v>JUNTA DE ARENA - MORTERO</v>
      </c>
      <c r="E239" t="str">
        <f t="shared" ref="E239:H240" si="4">E226</f>
        <v>M²</v>
      </c>
      <c r="F239">
        <f t="shared" si="4"/>
        <v>471.34000000000003</v>
      </c>
      <c r="G239">
        <f t="shared" si="4"/>
        <v>8.8431999999999995</v>
      </c>
      <c r="H239">
        <f t="shared" si="4"/>
        <v>4168.1538879999998</v>
      </c>
    </row>
    <row r="240" spans="1:11" x14ac:dyDescent="0.25">
      <c r="A240" s="28"/>
      <c r="B240" s="69"/>
      <c r="D240" t="str">
        <f>D227</f>
        <v>APLANADO DE MORTERO - ARENA</v>
      </c>
      <c r="E240" t="str">
        <f t="shared" si="4"/>
        <v>M²</v>
      </c>
      <c r="F240">
        <f t="shared" si="4"/>
        <v>471.34000000000003</v>
      </c>
      <c r="G240">
        <f t="shared" si="4"/>
        <v>13.264800000000001</v>
      </c>
      <c r="H240">
        <f t="shared" si="4"/>
        <v>6252.2308320000011</v>
      </c>
    </row>
    <row r="241" spans="1:14" x14ac:dyDescent="0.25">
      <c r="A241" s="28"/>
      <c r="B241" s="69"/>
      <c r="G241" s="42"/>
      <c r="H241" s="42"/>
    </row>
    <row r="242" spans="1:14" x14ac:dyDescent="0.25">
      <c r="A242" s="28"/>
      <c r="B242" s="69" t="str">
        <f>B229</f>
        <v>Mano de obra</v>
      </c>
      <c r="C242" s="69" t="str">
        <f>C229</f>
        <v>Albañil</v>
      </c>
      <c r="D242" s="69" t="str">
        <f>D229</f>
        <v>Elaboracion de muro de tabique 7X14X24</v>
      </c>
      <c r="E242" s="69" t="str">
        <f>E229</f>
        <v>M²</v>
      </c>
      <c r="F242" s="69">
        <f>'Generador de obra'!J139</f>
        <v>26.235000000000003</v>
      </c>
      <c r="G242" s="69">
        <f>G229</f>
        <v>120</v>
      </c>
      <c r="H242" s="69">
        <f>F242*G242</f>
        <v>3148.2000000000003</v>
      </c>
    </row>
    <row r="243" spans="1:14" x14ac:dyDescent="0.25">
      <c r="A243" s="28"/>
      <c r="B243" s="69"/>
      <c r="G243" s="42"/>
      <c r="H243" s="42"/>
    </row>
    <row r="245" spans="1:14" x14ac:dyDescent="0.25">
      <c r="A245" s="6"/>
      <c r="B245" s="150" t="str">
        <f>'Generador de obra'!B149</f>
        <v>Castillos:Elaborados en obra con armado de 10x10 y colado de 15x15 con concreto de 250 kg/m²  @20 cm  con varillas de 3/8 cuenta con los materiales necesarios para su fabricacion incluye mano de obra, herramienta., cimbra y decimbrar.</v>
      </c>
      <c r="C245" s="150"/>
      <c r="D245" s="150"/>
      <c r="G245" t="s">
        <v>11</v>
      </c>
      <c r="H245" t="str">
        <f>E258</f>
        <v>Ml</v>
      </c>
    </row>
    <row r="246" spans="1:14" x14ac:dyDescent="0.25">
      <c r="A246" s="2"/>
      <c r="B246" s="150"/>
      <c r="C246" s="150"/>
      <c r="D246" s="150"/>
      <c r="G246" t="s">
        <v>75</v>
      </c>
      <c r="H246">
        <f>'Generador de obra'!J149</f>
        <v>235</v>
      </c>
    </row>
    <row r="247" spans="1:14" x14ac:dyDescent="0.25">
      <c r="A247" s="2"/>
      <c r="B247" s="150"/>
      <c r="C247" s="150"/>
      <c r="D247" s="150"/>
      <c r="G247" t="s">
        <v>76</v>
      </c>
      <c r="H247" s="39">
        <f>H266+G268</f>
        <v>465.31017701770179</v>
      </c>
    </row>
    <row r="248" spans="1:14" x14ac:dyDescent="0.25">
      <c r="A248" s="2"/>
      <c r="B248" s="150"/>
      <c r="C248" s="150"/>
      <c r="D248" s="150"/>
      <c r="G248" t="s">
        <v>12</v>
      </c>
      <c r="H248" s="42">
        <f>H246*H247</f>
        <v>109347.89159915992</v>
      </c>
    </row>
    <row r="249" spans="1:14" x14ac:dyDescent="0.25">
      <c r="B249" s="28" t="s">
        <v>2</v>
      </c>
      <c r="C249" s="28"/>
      <c r="D249" s="28" t="s">
        <v>79</v>
      </c>
      <c r="E249" s="28" t="s">
        <v>11</v>
      </c>
      <c r="F249" s="28" t="s">
        <v>75</v>
      </c>
      <c r="G249" s="28" t="s">
        <v>76</v>
      </c>
      <c r="H249" s="28" t="s">
        <v>12</v>
      </c>
    </row>
    <row r="250" spans="1:14" x14ac:dyDescent="0.25">
      <c r="B250" s="33" t="s">
        <v>78</v>
      </c>
    </row>
    <row r="251" spans="1:14" x14ac:dyDescent="0.25">
      <c r="D251" t="str">
        <f>D194</f>
        <v>Cemento F'c 250kg/cm2</v>
      </c>
      <c r="E251" t="s">
        <v>23</v>
      </c>
      <c r="I251" s="98" t="s">
        <v>139</v>
      </c>
      <c r="J251" s="98" t="s">
        <v>498</v>
      </c>
      <c r="K251" s="98" t="s">
        <v>499</v>
      </c>
      <c r="L251" s="98" t="s">
        <v>504</v>
      </c>
      <c r="M251" s="98" t="s">
        <v>499</v>
      </c>
      <c r="N251" s="98" t="s">
        <v>504</v>
      </c>
    </row>
    <row r="252" spans="1:14" x14ac:dyDescent="0.25">
      <c r="D252" t="str">
        <f>D195</f>
        <v>CEMENTO CRUZ AZUL</v>
      </c>
      <c r="E252" t="str">
        <f t="shared" ref="E252:H255" si="5">E195</f>
        <v>Bto</v>
      </c>
      <c r="F252" s="60">
        <f t="shared" si="5"/>
        <v>8</v>
      </c>
      <c r="G252" s="35">
        <f t="shared" si="5"/>
        <v>120</v>
      </c>
      <c r="H252" s="35">
        <f t="shared" si="5"/>
        <v>960</v>
      </c>
      <c r="I252">
        <f>F252*0.022</f>
        <v>0.17599999999999999</v>
      </c>
      <c r="J252">
        <f>I252*H246</f>
        <v>41.36</v>
      </c>
      <c r="K252">
        <f>10*I252*6</f>
        <v>10.559999999999999</v>
      </c>
      <c r="L252">
        <f>10*I252*4</f>
        <v>7.0399999999999991</v>
      </c>
      <c r="M252">
        <f>K252/20</f>
        <v>0.52799999999999991</v>
      </c>
      <c r="N252">
        <f>L252/20</f>
        <v>0.35199999999999998</v>
      </c>
    </row>
    <row r="253" spans="1:14" x14ac:dyDescent="0.25">
      <c r="D253" t="str">
        <f>D196</f>
        <v xml:space="preserve">ARENA </v>
      </c>
      <c r="E253" t="str">
        <f t="shared" si="5"/>
        <v>Bote(19lt)</v>
      </c>
      <c r="F253" s="60">
        <f t="shared" si="5"/>
        <v>28.5</v>
      </c>
      <c r="G253" s="35">
        <f t="shared" si="5"/>
        <v>7</v>
      </c>
      <c r="H253" s="35">
        <f t="shared" si="5"/>
        <v>199.5</v>
      </c>
      <c r="I253">
        <f>F253*0.022</f>
        <v>0.627</v>
      </c>
      <c r="J253">
        <f>I253*H246</f>
        <v>147.345</v>
      </c>
      <c r="K253">
        <f>10*I253*6</f>
        <v>37.619999999999997</v>
      </c>
      <c r="L253">
        <f>10*I253*4</f>
        <v>25.08</v>
      </c>
      <c r="M253">
        <f>K253/40</f>
        <v>0.94049999999999989</v>
      </c>
      <c r="N253">
        <f>L253/40</f>
        <v>0.627</v>
      </c>
    </row>
    <row r="254" spans="1:14" x14ac:dyDescent="0.25">
      <c r="D254" t="str">
        <f>D197</f>
        <v>GRAVA</v>
      </c>
      <c r="E254" t="str">
        <f t="shared" si="5"/>
        <v>Bote(19lt)</v>
      </c>
      <c r="F254" s="60">
        <f t="shared" si="5"/>
        <v>34</v>
      </c>
      <c r="G254" s="35">
        <f t="shared" si="5"/>
        <v>14</v>
      </c>
      <c r="H254" s="35">
        <f t="shared" si="5"/>
        <v>476</v>
      </c>
      <c r="I254">
        <f>F254*0.022</f>
        <v>0.748</v>
      </c>
      <c r="J254">
        <f>I254*H246</f>
        <v>175.78</v>
      </c>
      <c r="K254">
        <f>10*I254*6</f>
        <v>44.88</v>
      </c>
      <c r="L254">
        <f>10*I254*4</f>
        <v>29.92</v>
      </c>
      <c r="M254">
        <f>K254/40</f>
        <v>1.1220000000000001</v>
      </c>
      <c r="N254">
        <f>L254/40</f>
        <v>0.748</v>
      </c>
    </row>
    <row r="255" spans="1:14" x14ac:dyDescent="0.25">
      <c r="D255" t="str">
        <f>D198</f>
        <v>AGUA</v>
      </c>
      <c r="E255" t="str">
        <f t="shared" si="5"/>
        <v>Bote(19lt)</v>
      </c>
      <c r="F255" s="60">
        <f t="shared" si="5"/>
        <v>12.5</v>
      </c>
      <c r="G255" s="35">
        <f t="shared" si="5"/>
        <v>1</v>
      </c>
      <c r="H255" s="35">
        <f t="shared" si="5"/>
        <v>12.5</v>
      </c>
      <c r="I255">
        <f>F255*0.022</f>
        <v>0.27499999999999997</v>
      </c>
      <c r="J255">
        <f>I255*H246</f>
        <v>64.624999999999986</v>
      </c>
      <c r="K255">
        <f>10*I255*6/1000</f>
        <v>1.6499999999999997E-2</v>
      </c>
      <c r="L255">
        <f>10*I255*4/1000</f>
        <v>1.0999999999999998E-2</v>
      </c>
    </row>
    <row r="256" spans="1:14" x14ac:dyDescent="0.25">
      <c r="G256" t="str">
        <f>G199</f>
        <v>Suma</v>
      </c>
      <c r="H256" s="15">
        <f>H199</f>
        <v>1648</v>
      </c>
    </row>
    <row r="257" spans="1:11" x14ac:dyDescent="0.25">
      <c r="H257" s="35"/>
      <c r="I257" s="98" t="s">
        <v>502</v>
      </c>
      <c r="J257" t="s">
        <v>503</v>
      </c>
    </row>
    <row r="258" spans="1:11" x14ac:dyDescent="0.25">
      <c r="D258" t="str">
        <f>D201</f>
        <v xml:space="preserve">Cemento F'c 250kg/cm2 </v>
      </c>
      <c r="E258" t="s">
        <v>139</v>
      </c>
      <c r="F258">
        <v>1</v>
      </c>
      <c r="G258" s="39">
        <f>H256/6.666</f>
        <v>247.22472247224721</v>
      </c>
      <c r="H258" s="35">
        <f>F258*G258</f>
        <v>247.22472247224721</v>
      </c>
    </row>
    <row r="259" spans="1:11" x14ac:dyDescent="0.25">
      <c r="D259" t="str">
        <f>D202</f>
        <v>VARILLA 3/8</v>
      </c>
      <c r="E259" t="s">
        <v>139</v>
      </c>
      <c r="F259">
        <v>4</v>
      </c>
      <c r="G259" s="35">
        <f>Materiales!E9/11</f>
        <v>7.6363636363636367</v>
      </c>
      <c r="H259" s="35">
        <f>G259*F259</f>
        <v>30.545454545454547</v>
      </c>
      <c r="I259">
        <f>F259*H246</f>
        <v>940</v>
      </c>
      <c r="J259">
        <f>I259/12</f>
        <v>78.333333333333329</v>
      </c>
    </row>
    <row r="260" spans="1:11" x14ac:dyDescent="0.25">
      <c r="D260" t="str">
        <f>Materiales!A29</f>
        <v>ALAMRON PARA ESTRIBOS 1KL=3M</v>
      </c>
      <c r="E260" t="s">
        <v>219</v>
      </c>
      <c r="F260">
        <v>5</v>
      </c>
      <c r="G260" s="19">
        <f>Materiales!C29</f>
        <v>14</v>
      </c>
      <c r="H260" s="35">
        <f>2.1*F260</f>
        <v>10.5</v>
      </c>
    </row>
    <row r="261" spans="1:11" x14ac:dyDescent="0.25">
      <c r="D261" t="str">
        <f>Materiales!A39</f>
        <v>TABLA 2.5X30</v>
      </c>
      <c r="E261" t="s">
        <v>34</v>
      </c>
      <c r="F261">
        <v>1</v>
      </c>
      <c r="G261" s="39">
        <f>Materiales!C39/2.5</f>
        <v>34</v>
      </c>
      <c r="H261" s="35">
        <f>G261*F261</f>
        <v>34</v>
      </c>
    </row>
    <row r="262" spans="1:11" x14ac:dyDescent="0.25">
      <c r="D262" t="str">
        <f>D205</f>
        <v>ALAMBRE RECOCIDO</v>
      </c>
      <c r="E262" t="s">
        <v>219</v>
      </c>
      <c r="F262">
        <v>1.5</v>
      </c>
      <c r="G262" s="35">
        <f>Materiales!C18</f>
        <v>15</v>
      </c>
      <c r="H262" s="35">
        <f>G262*F262</f>
        <v>22.5</v>
      </c>
      <c r="I262">
        <f>F260*H246</f>
        <v>1175</v>
      </c>
      <c r="J262">
        <f>I262/10</f>
        <v>117.5</v>
      </c>
      <c r="K262">
        <f>J262*6</f>
        <v>705</v>
      </c>
    </row>
    <row r="263" spans="1:11" x14ac:dyDescent="0.25">
      <c r="D263" t="str">
        <f>D206</f>
        <v>CLAVO 2"</v>
      </c>
      <c r="E263" t="s">
        <v>219</v>
      </c>
      <c r="F263">
        <v>1</v>
      </c>
      <c r="G263" s="35">
        <f>Materiales!E20</f>
        <v>20</v>
      </c>
      <c r="H263" s="35">
        <f>G263*F263</f>
        <v>20</v>
      </c>
    </row>
    <row r="264" spans="1:11" x14ac:dyDescent="0.25">
      <c r="D264" t="str">
        <f>D207</f>
        <v>DIESEL</v>
      </c>
      <c r="E264" t="s">
        <v>86</v>
      </c>
      <c r="F264">
        <v>1</v>
      </c>
      <c r="G264" s="39">
        <f>Materiales!C38</f>
        <v>14.54</v>
      </c>
      <c r="H264" s="35">
        <f>G264*F264</f>
        <v>14.54</v>
      </c>
    </row>
    <row r="265" spans="1:11" x14ac:dyDescent="0.25">
      <c r="D265" t="str">
        <f>D208</f>
        <v>AGUA</v>
      </c>
      <c r="E265" t="s">
        <v>86</v>
      </c>
      <c r="F265">
        <v>1</v>
      </c>
      <c r="G265" s="39">
        <f>Materiales!C28</f>
        <v>1</v>
      </c>
      <c r="H265" s="35">
        <f>G265*F265</f>
        <v>1</v>
      </c>
    </row>
    <row r="266" spans="1:11" x14ac:dyDescent="0.25">
      <c r="G266" t="s">
        <v>9</v>
      </c>
      <c r="H266" s="15">
        <f>H259+H260+H261+H262+H263+H264+H265+H258</f>
        <v>380.31017701770179</v>
      </c>
    </row>
    <row r="267" spans="1:11" x14ac:dyDescent="0.25">
      <c r="H267" s="35"/>
    </row>
    <row r="268" spans="1:11" ht="30" x14ac:dyDescent="0.25">
      <c r="B268" s="44" t="s">
        <v>132</v>
      </c>
      <c r="C268" t="s">
        <v>89</v>
      </c>
      <c r="D268" s="1" t="str">
        <f>'Mano de Obra'!A12</f>
        <v>Elaboracion de Castillos de 15x15, 15x20 y 15x30 incluye cimbra y decimbra</v>
      </c>
      <c r="E268" t="str">
        <f>H245</f>
        <v>Ml</v>
      </c>
      <c r="F268">
        <f>H246</f>
        <v>235</v>
      </c>
      <c r="G268" s="42">
        <f>'Mano de Obra'!C12</f>
        <v>85</v>
      </c>
      <c r="H268" s="42">
        <f>G268*F268</f>
        <v>19975</v>
      </c>
    </row>
    <row r="271" spans="1:11" x14ac:dyDescent="0.25">
      <c r="A271" s="6"/>
      <c r="B271" s="150" t="str">
        <f>'Generador de obra'!B178</f>
        <v>Castillos:Elaborados en obra con armado de 15x25 y colado de 15x30 con concreto de 250 kg/m² convarillas se 3/8 y estribos del #2 @20cm cuenta con los materiales necesarios para su fabricacion incluye mano de obra, herramienta., cimbra y decimbrar.</v>
      </c>
      <c r="C271" s="150"/>
      <c r="D271" s="150"/>
      <c r="G271" t="s">
        <v>11</v>
      </c>
      <c r="H271" t="str">
        <f>'Generador de obra'!K178</f>
        <v>ML</v>
      </c>
    </row>
    <row r="272" spans="1:11" x14ac:dyDescent="0.25">
      <c r="A272" s="2"/>
      <c r="B272" s="150"/>
      <c r="C272" s="150"/>
      <c r="D272" s="150"/>
      <c r="G272" t="s">
        <v>75</v>
      </c>
      <c r="H272">
        <f>'Generador de obra'!J178</f>
        <v>10</v>
      </c>
    </row>
    <row r="273" spans="1:12" x14ac:dyDescent="0.25">
      <c r="A273" s="2"/>
      <c r="B273" s="150"/>
      <c r="C273" s="150"/>
      <c r="D273" s="150"/>
      <c r="G273" t="s">
        <v>76</v>
      </c>
      <c r="H273" s="39">
        <f>H292+G294</f>
        <v>591.30767676767687</v>
      </c>
    </row>
    <row r="274" spans="1:12" x14ac:dyDescent="0.25">
      <c r="A274" s="2"/>
      <c r="B274" s="150"/>
      <c r="C274" s="150"/>
      <c r="D274" s="150"/>
      <c r="G274" t="s">
        <v>12</v>
      </c>
      <c r="H274" s="42">
        <f>H272*H273</f>
        <v>5913.0767676767682</v>
      </c>
      <c r="J274">
        <f>F288*H272</f>
        <v>15</v>
      </c>
    </row>
    <row r="275" spans="1:12" x14ac:dyDescent="0.25">
      <c r="A275" s="142"/>
      <c r="B275" s="142" t="s">
        <v>2</v>
      </c>
      <c r="C275" s="142"/>
      <c r="D275" s="142" t="s">
        <v>79</v>
      </c>
      <c r="E275" s="142" t="s">
        <v>11</v>
      </c>
      <c r="F275" s="142" t="s">
        <v>75</v>
      </c>
      <c r="G275" s="142" t="s">
        <v>76</v>
      </c>
      <c r="H275" s="142" t="s">
        <v>12</v>
      </c>
    </row>
    <row r="276" spans="1:12" x14ac:dyDescent="0.25">
      <c r="B276" s="33" t="s">
        <v>78</v>
      </c>
    </row>
    <row r="277" spans="1:12" x14ac:dyDescent="0.25">
      <c r="D277" t="str">
        <f>D251</f>
        <v>Cemento F'c 250kg/cm2</v>
      </c>
      <c r="E277" t="s">
        <v>23</v>
      </c>
      <c r="I277" s="98" t="s">
        <v>139</v>
      </c>
      <c r="J277" s="98" t="s">
        <v>498</v>
      </c>
      <c r="K277" s="98" t="s">
        <v>505</v>
      </c>
      <c r="L277" s="98"/>
    </row>
    <row r="278" spans="1:12" x14ac:dyDescent="0.25">
      <c r="D278" t="str">
        <f t="shared" ref="D278:E281" si="6">D252</f>
        <v>CEMENTO CRUZ AZUL</v>
      </c>
      <c r="E278" t="str">
        <f>E252</f>
        <v>Bto</v>
      </c>
      <c r="F278" s="60">
        <f>F252</f>
        <v>8</v>
      </c>
      <c r="G278" s="35">
        <f>G252</f>
        <v>120</v>
      </c>
      <c r="H278" s="35">
        <f>H252</f>
        <v>960</v>
      </c>
      <c r="I278">
        <f>F278*0.045</f>
        <v>0.36</v>
      </c>
      <c r="J278">
        <f>I278*H272</f>
        <v>3.5999999999999996</v>
      </c>
      <c r="K278">
        <f>8*I278*2</f>
        <v>5.76</v>
      </c>
      <c r="L278">
        <f>K278/20</f>
        <v>0.28799999999999998</v>
      </c>
    </row>
    <row r="279" spans="1:12" x14ac:dyDescent="0.25">
      <c r="D279" t="str">
        <f t="shared" si="6"/>
        <v xml:space="preserve">ARENA </v>
      </c>
      <c r="E279" t="str">
        <f t="shared" si="6"/>
        <v>Bote(19lt)</v>
      </c>
      <c r="F279" s="60">
        <f t="shared" ref="F279:H280" si="7">F253</f>
        <v>28.5</v>
      </c>
      <c r="G279" s="35">
        <f t="shared" si="7"/>
        <v>7</v>
      </c>
      <c r="H279" s="35">
        <f t="shared" si="7"/>
        <v>199.5</v>
      </c>
      <c r="I279">
        <f>F279*0.045</f>
        <v>1.2825</v>
      </c>
      <c r="J279">
        <f>I279*H272</f>
        <v>12.824999999999999</v>
      </c>
      <c r="K279">
        <f>8*I279*2</f>
        <v>20.52</v>
      </c>
      <c r="L279">
        <f>K279/40</f>
        <v>0.51300000000000001</v>
      </c>
    </row>
    <row r="280" spans="1:12" x14ac:dyDescent="0.25">
      <c r="D280" t="str">
        <f t="shared" si="6"/>
        <v>GRAVA</v>
      </c>
      <c r="E280" t="str">
        <f t="shared" si="6"/>
        <v>Bote(19lt)</v>
      </c>
      <c r="F280" s="60">
        <f t="shared" si="7"/>
        <v>34</v>
      </c>
      <c r="G280" s="35">
        <f t="shared" si="7"/>
        <v>14</v>
      </c>
      <c r="H280" s="35">
        <f t="shared" si="7"/>
        <v>476</v>
      </c>
      <c r="I280">
        <f>F280*0.045</f>
        <v>1.53</v>
      </c>
      <c r="J280">
        <f>I280*H272</f>
        <v>15.3</v>
      </c>
      <c r="K280">
        <f>8*I280*2</f>
        <v>24.48</v>
      </c>
      <c r="L280">
        <f>K280/40</f>
        <v>0.61199999999999999</v>
      </c>
    </row>
    <row r="281" spans="1:12" x14ac:dyDescent="0.25">
      <c r="D281" t="str">
        <f t="shared" si="6"/>
        <v>AGUA</v>
      </c>
      <c r="E281" t="str">
        <f t="shared" si="6"/>
        <v>Bote(19lt)</v>
      </c>
      <c r="F281" s="60">
        <f t="shared" ref="F281:H282" si="8">F255</f>
        <v>12.5</v>
      </c>
      <c r="G281" s="35">
        <f t="shared" si="8"/>
        <v>1</v>
      </c>
      <c r="H281" s="35">
        <f t="shared" si="8"/>
        <v>12.5</v>
      </c>
      <c r="I281">
        <f>F281*0.045</f>
        <v>0.5625</v>
      </c>
      <c r="J281">
        <f>I281*H272</f>
        <v>5.625</v>
      </c>
      <c r="K281">
        <f>8*I281*2/1000</f>
        <v>8.9999999999999993E-3</v>
      </c>
    </row>
    <row r="282" spans="1:12" x14ac:dyDescent="0.25">
      <c r="G282" t="str">
        <f t="shared" si="8"/>
        <v>Suma</v>
      </c>
      <c r="H282" s="15">
        <f t="shared" si="8"/>
        <v>1648</v>
      </c>
    </row>
    <row r="283" spans="1:12" x14ac:dyDescent="0.25">
      <c r="G283" s="35"/>
      <c r="H283" s="35"/>
    </row>
    <row r="284" spans="1:12" x14ac:dyDescent="0.25">
      <c r="D284" t="str">
        <f>D258</f>
        <v xml:space="preserve">Cemento F'c 250kg/cm2 </v>
      </c>
      <c r="E284" t="str">
        <f>E258</f>
        <v>Ml</v>
      </c>
      <c r="F284">
        <f>F258</f>
        <v>1</v>
      </c>
      <c r="G284" s="35">
        <f>H282/4.5</f>
        <v>366.22222222222223</v>
      </c>
      <c r="H284" s="35">
        <f>G284*F284</f>
        <v>366.22222222222223</v>
      </c>
      <c r="I284" s="98" t="s">
        <v>139</v>
      </c>
      <c r="J284" s="98" t="s">
        <v>503</v>
      </c>
    </row>
    <row r="285" spans="1:12" x14ac:dyDescent="0.25">
      <c r="D285" t="str">
        <f t="shared" ref="D285:F290" si="9">D259</f>
        <v>VARILLA 3/8</v>
      </c>
      <c r="E285" t="str">
        <f t="shared" si="9"/>
        <v>Ml</v>
      </c>
      <c r="F285">
        <f t="shared" si="9"/>
        <v>4</v>
      </c>
      <c r="G285" s="19">
        <f>Materiales!E9/11</f>
        <v>7.6363636363636367</v>
      </c>
      <c r="H285" s="35">
        <f t="shared" ref="H285:H291" si="10">G285*F285</f>
        <v>30.545454545454547</v>
      </c>
      <c r="I285">
        <f>F285*H272</f>
        <v>40</v>
      </c>
      <c r="J285">
        <f>I285/12</f>
        <v>3.3333333333333335</v>
      </c>
    </row>
    <row r="286" spans="1:12" x14ac:dyDescent="0.25">
      <c r="D286" t="str">
        <f t="shared" si="9"/>
        <v>ALAMRON PARA ESTRIBOS 1KL=3M</v>
      </c>
      <c r="E286" t="s">
        <v>219</v>
      </c>
      <c r="F286">
        <v>5</v>
      </c>
      <c r="G286" s="19">
        <f>Materiales!C29</f>
        <v>14</v>
      </c>
      <c r="H286" s="35">
        <f>3.5*F286</f>
        <v>17.5</v>
      </c>
    </row>
    <row r="287" spans="1:12" x14ac:dyDescent="0.25">
      <c r="D287" t="str">
        <f t="shared" si="9"/>
        <v>TABLA 2.5X30</v>
      </c>
      <c r="E287" t="str">
        <f t="shared" si="9"/>
        <v>Pza</v>
      </c>
      <c r="F287">
        <v>1</v>
      </c>
      <c r="G287" s="39">
        <f>Materiales!C39/2.5</f>
        <v>34</v>
      </c>
      <c r="H287" s="35">
        <f t="shared" si="10"/>
        <v>34</v>
      </c>
    </row>
    <row r="288" spans="1:12" x14ac:dyDescent="0.25">
      <c r="D288" t="str">
        <f>D262</f>
        <v>ALAMBRE RECOCIDO</v>
      </c>
      <c r="E288" t="str">
        <f>E262</f>
        <v>Kl</v>
      </c>
      <c r="F288">
        <f>F262</f>
        <v>1.5</v>
      </c>
      <c r="G288" s="19">
        <f>Materiales!C18</f>
        <v>15</v>
      </c>
      <c r="H288" s="35">
        <f t="shared" si="10"/>
        <v>22.5</v>
      </c>
    </row>
    <row r="289" spans="1:14" x14ac:dyDescent="0.25">
      <c r="D289" t="str">
        <f t="shared" si="9"/>
        <v>CLAVO 2"</v>
      </c>
      <c r="E289" t="str">
        <f t="shared" si="9"/>
        <v>Kl</v>
      </c>
      <c r="F289">
        <f t="shared" si="9"/>
        <v>1</v>
      </c>
      <c r="G289" s="19">
        <f>Materiales!E20</f>
        <v>20</v>
      </c>
      <c r="H289" s="35">
        <f t="shared" si="10"/>
        <v>20</v>
      </c>
    </row>
    <row r="290" spans="1:14" x14ac:dyDescent="0.25">
      <c r="D290" t="str">
        <f t="shared" si="9"/>
        <v>DIESEL</v>
      </c>
      <c r="E290" t="str">
        <f t="shared" si="9"/>
        <v>Lt</v>
      </c>
      <c r="F290">
        <f t="shared" si="9"/>
        <v>1</v>
      </c>
      <c r="G290" s="39">
        <f>Materiales!C38</f>
        <v>14.54</v>
      </c>
      <c r="H290" s="35">
        <f t="shared" si="10"/>
        <v>14.54</v>
      </c>
    </row>
    <row r="291" spans="1:14" x14ac:dyDescent="0.25">
      <c r="D291" t="str">
        <f>D265</f>
        <v>AGUA</v>
      </c>
      <c r="E291" t="str">
        <f>E265</f>
        <v>Lt</v>
      </c>
      <c r="F291">
        <f>F265</f>
        <v>1</v>
      </c>
      <c r="G291" s="39">
        <f>Materiales!C28</f>
        <v>1</v>
      </c>
      <c r="H291" s="35">
        <f t="shared" si="10"/>
        <v>1</v>
      </c>
    </row>
    <row r="292" spans="1:14" x14ac:dyDescent="0.25">
      <c r="G292" t="s">
        <v>9</v>
      </c>
      <c r="H292" s="42">
        <f>H284+H285+H286+H287+H288+H289+H290+H291</f>
        <v>506.30767676767681</v>
      </c>
    </row>
    <row r="294" spans="1:14" ht="30" x14ac:dyDescent="0.25">
      <c r="B294" s="44" t="s">
        <v>132</v>
      </c>
      <c r="C294" t="s">
        <v>89</v>
      </c>
      <c r="D294" s="1" t="str">
        <f>'Mano de Obra'!A12</f>
        <v>Elaboracion de Castillos de 15x15, 15x20 y 15x30 incluye cimbra y decimbra</v>
      </c>
      <c r="E294" t="str">
        <f>'Generador de obra'!K178</f>
        <v>ML</v>
      </c>
      <c r="F294">
        <f>'Generador de obra'!J178</f>
        <v>10</v>
      </c>
      <c r="G294" s="42">
        <f>'Mano de Obra'!C12</f>
        <v>85</v>
      </c>
      <c r="H294" s="42">
        <f>F294*G294</f>
        <v>850</v>
      </c>
    </row>
    <row r="296" spans="1:14" x14ac:dyDescent="0.25">
      <c r="A296" s="6"/>
      <c r="B296" s="150" t="str">
        <f>'Generador de obra'!B184</f>
        <v>Cadena de cerramiento: Hecha en obra con dimension de 15x30 con un concreto de F'c 250kg/m² varillas de 3/8 y estribos del #2 @20cm incluye mano de obra, herramienta, cimbra, desimbrado y todo lo necesario para su elaboracion</v>
      </c>
      <c r="C296" s="150"/>
      <c r="D296" s="150"/>
      <c r="G296" t="s">
        <v>11</v>
      </c>
      <c r="H296" t="str">
        <f>'Generador de obra'!K184</f>
        <v>ML</v>
      </c>
    </row>
    <row r="297" spans="1:14" x14ac:dyDescent="0.25">
      <c r="A297" s="6"/>
      <c r="B297" s="150"/>
      <c r="C297" s="150"/>
      <c r="D297" s="150"/>
      <c r="G297" t="s">
        <v>75</v>
      </c>
      <c r="H297" s="57">
        <f>'Generador de obra'!J184</f>
        <v>195.44000000000003</v>
      </c>
    </row>
    <row r="298" spans="1:14" x14ac:dyDescent="0.25">
      <c r="A298" s="6"/>
      <c r="B298" s="150"/>
      <c r="C298" s="150"/>
      <c r="D298" s="150"/>
      <c r="G298" t="s">
        <v>76</v>
      </c>
      <c r="H298" s="39">
        <f>H317+G319</f>
        <v>886.07545454545459</v>
      </c>
    </row>
    <row r="299" spans="1:14" x14ac:dyDescent="0.25">
      <c r="A299" s="6"/>
      <c r="B299" s="150"/>
      <c r="C299" s="150"/>
      <c r="D299" s="150"/>
      <c r="G299" t="s">
        <v>12</v>
      </c>
      <c r="H299" s="42">
        <f>H297*H298</f>
        <v>173174.58683636365</v>
      </c>
    </row>
    <row r="300" spans="1:14" x14ac:dyDescent="0.25">
      <c r="B300" s="28" t="s">
        <v>2</v>
      </c>
      <c r="C300" s="28"/>
      <c r="D300" s="28" t="s">
        <v>79</v>
      </c>
      <c r="E300" s="28" t="s">
        <v>11</v>
      </c>
      <c r="F300" s="28" t="s">
        <v>75</v>
      </c>
      <c r="G300" s="28" t="s">
        <v>76</v>
      </c>
      <c r="H300" s="28" t="s">
        <v>12</v>
      </c>
    </row>
    <row r="301" spans="1:14" x14ac:dyDescent="0.25">
      <c r="B301" s="33" t="s">
        <v>78</v>
      </c>
    </row>
    <row r="302" spans="1:14" x14ac:dyDescent="0.25">
      <c r="D302" t="str">
        <f>D277</f>
        <v>Cemento F'c 250kg/cm2</v>
      </c>
      <c r="E302" t="s">
        <v>23</v>
      </c>
      <c r="I302" s="98" t="s">
        <v>139</v>
      </c>
      <c r="J302" s="98" t="s">
        <v>498</v>
      </c>
      <c r="K302" s="98" t="s">
        <v>499</v>
      </c>
      <c r="L302" s="98" t="s">
        <v>505</v>
      </c>
      <c r="M302" s="98" t="s">
        <v>499</v>
      </c>
      <c r="N302" s="98" t="s">
        <v>505</v>
      </c>
    </row>
    <row r="303" spans="1:14" x14ac:dyDescent="0.25">
      <c r="D303" t="str">
        <f t="shared" ref="D303:G306" si="11">D278</f>
        <v>CEMENTO CRUZ AZUL</v>
      </c>
      <c r="E303" t="str">
        <f>E278</f>
        <v>Bto</v>
      </c>
      <c r="F303" s="60">
        <f>F278</f>
        <v>8</v>
      </c>
      <c r="G303" s="39">
        <f>G278</f>
        <v>120</v>
      </c>
      <c r="H303" s="39">
        <f>H278</f>
        <v>960</v>
      </c>
      <c r="I303">
        <f>F303*0.06</f>
        <v>0.48</v>
      </c>
      <c r="J303">
        <f>I303*H297</f>
        <v>93.811200000000014</v>
      </c>
      <c r="K303">
        <f>8*I303*6</f>
        <v>23.04</v>
      </c>
      <c r="L303">
        <f>8*I303*2</f>
        <v>7.68</v>
      </c>
      <c r="M303">
        <f>K303/20</f>
        <v>1.1519999999999999</v>
      </c>
      <c r="N303">
        <f>L303/20</f>
        <v>0.38400000000000001</v>
      </c>
    </row>
    <row r="304" spans="1:14" x14ac:dyDescent="0.25">
      <c r="D304" t="str">
        <f t="shared" si="11"/>
        <v xml:space="preserve">ARENA </v>
      </c>
      <c r="E304" t="str">
        <f t="shared" si="11"/>
        <v>Bote(19lt)</v>
      </c>
      <c r="F304" s="60">
        <f t="shared" si="11"/>
        <v>28.5</v>
      </c>
      <c r="G304" s="39">
        <f t="shared" si="11"/>
        <v>7</v>
      </c>
      <c r="H304" s="39">
        <f>H279</f>
        <v>199.5</v>
      </c>
      <c r="I304">
        <f>F304*0.06</f>
        <v>1.71</v>
      </c>
      <c r="J304">
        <f>I304*H297</f>
        <v>334.20240000000001</v>
      </c>
      <c r="K304">
        <f>8*I304*6</f>
        <v>82.08</v>
      </c>
      <c r="L304">
        <f>8*I304*2</f>
        <v>27.36</v>
      </c>
      <c r="M304">
        <f>K304/40</f>
        <v>2.052</v>
      </c>
      <c r="N304">
        <f>L304/40</f>
        <v>0.68399999999999994</v>
      </c>
    </row>
    <row r="305" spans="2:14" x14ac:dyDescent="0.25">
      <c r="D305" t="str">
        <f t="shared" si="11"/>
        <v>GRAVA</v>
      </c>
      <c r="E305" t="str">
        <f t="shared" si="11"/>
        <v>Bote(19lt)</v>
      </c>
      <c r="F305" s="60">
        <f t="shared" si="11"/>
        <v>34</v>
      </c>
      <c r="G305" s="39">
        <f t="shared" si="11"/>
        <v>14</v>
      </c>
      <c r="H305" s="39">
        <f>H280</f>
        <v>476</v>
      </c>
      <c r="I305">
        <f>F305*0.06</f>
        <v>2.04</v>
      </c>
      <c r="J305">
        <f>I305*H297</f>
        <v>398.69760000000008</v>
      </c>
      <c r="K305">
        <f>8*I305*6</f>
        <v>97.92</v>
      </c>
      <c r="L305">
        <f>8*I305*2</f>
        <v>32.64</v>
      </c>
      <c r="M305">
        <f>K305/40</f>
        <v>2.448</v>
      </c>
      <c r="N305">
        <f>L305/40</f>
        <v>0.81600000000000006</v>
      </c>
    </row>
    <row r="306" spans="2:14" x14ac:dyDescent="0.25">
      <c r="D306" t="str">
        <f t="shared" si="11"/>
        <v>AGUA</v>
      </c>
      <c r="E306" t="str">
        <f t="shared" si="11"/>
        <v>Bote(19lt)</v>
      </c>
      <c r="F306" s="60">
        <f t="shared" si="11"/>
        <v>12.5</v>
      </c>
      <c r="G306" s="39">
        <f t="shared" si="11"/>
        <v>1</v>
      </c>
      <c r="H306" s="39">
        <f>H281</f>
        <v>12.5</v>
      </c>
      <c r="I306">
        <f>F306*0.06</f>
        <v>0.75</v>
      </c>
      <c r="J306">
        <f>I306*H297</f>
        <v>146.58000000000001</v>
      </c>
      <c r="K306">
        <f>8*I306*6/1000</f>
        <v>3.5999999999999997E-2</v>
      </c>
      <c r="L306">
        <f>8*I306*2/1000</f>
        <v>1.2E-2</v>
      </c>
    </row>
    <row r="307" spans="2:14" x14ac:dyDescent="0.25">
      <c r="G307" t="s">
        <v>9</v>
      </c>
      <c r="H307" s="42">
        <f>H303+H304+H305+H306</f>
        <v>1648</v>
      </c>
    </row>
    <row r="309" spans="2:14" x14ac:dyDescent="0.25">
      <c r="D309" t="str">
        <f>D284</f>
        <v xml:space="preserve">Cemento F'c 250kg/cm2 </v>
      </c>
      <c r="E309" t="str">
        <f>E284</f>
        <v>Ml</v>
      </c>
      <c r="F309">
        <f>F284</f>
        <v>1</v>
      </c>
      <c r="G309" s="35">
        <f>H307/2.5</f>
        <v>659.2</v>
      </c>
      <c r="H309" s="35">
        <f>G309*F309</f>
        <v>659.2</v>
      </c>
      <c r="I309" s="98" t="s">
        <v>139</v>
      </c>
      <c r="J309" s="98" t="s">
        <v>34</v>
      </c>
    </row>
    <row r="310" spans="2:14" x14ac:dyDescent="0.25">
      <c r="D310" t="str">
        <f t="shared" ref="D310:F316" si="12">D285</f>
        <v>VARILLA 3/8</v>
      </c>
      <c r="E310" t="str">
        <f t="shared" si="12"/>
        <v>Ml</v>
      </c>
      <c r="F310">
        <f t="shared" si="12"/>
        <v>4</v>
      </c>
      <c r="G310" s="35">
        <f>G285</f>
        <v>7.6363636363636367</v>
      </c>
      <c r="H310" s="35">
        <f t="shared" ref="H310:H316" si="13">G310*F310</f>
        <v>30.545454545454547</v>
      </c>
      <c r="I310">
        <f>F310*H297</f>
        <v>781.7600000000001</v>
      </c>
      <c r="J310">
        <f>I310/12</f>
        <v>65.146666666666675</v>
      </c>
    </row>
    <row r="311" spans="2:14" x14ac:dyDescent="0.25">
      <c r="D311" t="str">
        <f t="shared" si="12"/>
        <v>ALAMRON PARA ESTRIBOS 1KL=3M</v>
      </c>
      <c r="E311" t="s">
        <v>244</v>
      </c>
      <c r="F311">
        <f>0.95*5</f>
        <v>4.75</v>
      </c>
      <c r="G311" s="49">
        <f>Materiales!C29</f>
        <v>14</v>
      </c>
      <c r="H311" s="35">
        <f>4.44*F311</f>
        <v>21.090000000000003</v>
      </c>
    </row>
    <row r="312" spans="2:14" x14ac:dyDescent="0.25">
      <c r="D312" t="str">
        <f t="shared" si="12"/>
        <v>TABLA 2.5X30</v>
      </c>
      <c r="E312" t="s">
        <v>34</v>
      </c>
      <c r="F312">
        <v>2</v>
      </c>
      <c r="G312" s="35">
        <f>G287/2.5</f>
        <v>13.6</v>
      </c>
      <c r="H312" s="35">
        <f t="shared" si="13"/>
        <v>27.2</v>
      </c>
    </row>
    <row r="313" spans="2:14" x14ac:dyDescent="0.25">
      <c r="D313" t="str">
        <f t="shared" si="12"/>
        <v>ALAMBRE RECOCIDO</v>
      </c>
      <c r="E313" t="str">
        <f t="shared" si="12"/>
        <v>Kl</v>
      </c>
      <c r="F313">
        <f t="shared" si="12"/>
        <v>1.5</v>
      </c>
      <c r="G313" s="35">
        <f>G288</f>
        <v>15</v>
      </c>
      <c r="H313" s="35">
        <f t="shared" si="13"/>
        <v>22.5</v>
      </c>
    </row>
    <row r="314" spans="2:14" x14ac:dyDescent="0.25">
      <c r="D314" t="str">
        <f t="shared" si="12"/>
        <v>CLAVO 2"</v>
      </c>
      <c r="E314" t="str">
        <f t="shared" si="12"/>
        <v>Kl</v>
      </c>
      <c r="F314">
        <f t="shared" si="12"/>
        <v>1</v>
      </c>
      <c r="G314" s="35">
        <f>G289</f>
        <v>20</v>
      </c>
      <c r="H314" s="35">
        <f t="shared" si="13"/>
        <v>20</v>
      </c>
    </row>
    <row r="315" spans="2:14" x14ac:dyDescent="0.25">
      <c r="D315" t="str">
        <f t="shared" si="12"/>
        <v>DIESEL</v>
      </c>
      <c r="E315" t="str">
        <f t="shared" si="12"/>
        <v>Lt</v>
      </c>
      <c r="F315">
        <f t="shared" si="12"/>
        <v>1</v>
      </c>
      <c r="G315" s="35">
        <f>G290</f>
        <v>14.54</v>
      </c>
      <c r="H315" s="35">
        <f t="shared" si="13"/>
        <v>14.54</v>
      </c>
    </row>
    <row r="316" spans="2:14" x14ac:dyDescent="0.25">
      <c r="D316" t="str">
        <f t="shared" si="12"/>
        <v>AGUA</v>
      </c>
      <c r="E316" t="str">
        <f t="shared" si="12"/>
        <v>Lt</v>
      </c>
      <c r="F316">
        <f t="shared" si="12"/>
        <v>1</v>
      </c>
      <c r="G316" s="35">
        <f>G291</f>
        <v>1</v>
      </c>
      <c r="H316" s="35">
        <f t="shared" si="13"/>
        <v>1</v>
      </c>
    </row>
    <row r="317" spans="2:14" x14ac:dyDescent="0.25">
      <c r="G317" t="s">
        <v>9</v>
      </c>
      <c r="H317" s="42">
        <f>H309+H310+H311+H312+H313+H314+H315+H316</f>
        <v>796.07545454545459</v>
      </c>
    </row>
    <row r="319" spans="2:14" ht="30" x14ac:dyDescent="0.25">
      <c r="B319" s="44" t="s">
        <v>132</v>
      </c>
      <c r="C319" t="s">
        <v>89</v>
      </c>
      <c r="D319" s="1" t="str">
        <f>'Mano de Obra'!A13</f>
        <v>Cadena de cerramiento de 15x40, 15x30 incluye cimbra y decimbra</v>
      </c>
      <c r="E319" t="str">
        <f>'Generador de obra'!K184</f>
        <v>ML</v>
      </c>
      <c r="F319" s="57">
        <f>'Generador de obra'!J184</f>
        <v>195.44000000000003</v>
      </c>
      <c r="G319" s="42">
        <f>'Mano de Obra'!C13</f>
        <v>90</v>
      </c>
      <c r="H319" s="42">
        <f>F319*G319</f>
        <v>17589.600000000002</v>
      </c>
    </row>
    <row r="322" spans="1:12" x14ac:dyDescent="0.25">
      <c r="A322" s="158" t="s">
        <v>237</v>
      </c>
      <c r="B322" s="158"/>
      <c r="C322" s="158"/>
      <c r="D322" s="158"/>
      <c r="E322" s="48">
        <f>H299+H274+H248+H221+H234</f>
        <v>416382.32892411534</v>
      </c>
    </row>
    <row r="324" spans="1:12" s="28" customFormat="1" x14ac:dyDescent="0.25">
      <c r="A324" s="141" t="s">
        <v>32</v>
      </c>
      <c r="B324" s="141"/>
      <c r="C324" s="141"/>
      <c r="D324" s="141"/>
      <c r="E324" s="141"/>
      <c r="F324" s="141"/>
      <c r="G324" s="141"/>
      <c r="H324" s="141"/>
      <c r="I324" s="68"/>
      <c r="J324" s="68"/>
      <c r="K324" s="68"/>
      <c r="L324" s="68"/>
    </row>
    <row r="325" spans="1:12" x14ac:dyDescent="0.25">
      <c r="A325" s="24"/>
      <c r="B325" s="150" t="str">
        <f>'Generador de obra'!B220</f>
        <v>Firme: Firme de concreto con F'c 200gk/m² con un espesor de 12cm malla electrosoldada cal  incluye todo lo necesario para su elaboracion</v>
      </c>
      <c r="C325" s="150"/>
      <c r="D325" s="150"/>
      <c r="G325" t="s">
        <v>11</v>
      </c>
      <c r="H325" t="str">
        <f>'Generador de obra'!K220</f>
        <v>M²</v>
      </c>
    </row>
    <row r="326" spans="1:12" x14ac:dyDescent="0.25">
      <c r="A326" s="2"/>
      <c r="B326" s="150"/>
      <c r="C326" s="150"/>
      <c r="D326" s="150"/>
      <c r="G326" t="s">
        <v>75</v>
      </c>
      <c r="H326">
        <f>'Generador de obra'!J220</f>
        <v>82.61</v>
      </c>
    </row>
    <row r="327" spans="1:12" x14ac:dyDescent="0.25">
      <c r="A327" s="2"/>
      <c r="B327" s="150"/>
      <c r="C327" s="150"/>
      <c r="D327" s="150"/>
      <c r="G327" t="s">
        <v>76</v>
      </c>
      <c r="H327" s="39">
        <f>G337+G338+G340</f>
        <v>335.34845793831755</v>
      </c>
    </row>
    <row r="328" spans="1:12" x14ac:dyDescent="0.25">
      <c r="A328" s="2"/>
      <c r="B328" s="150"/>
      <c r="C328" s="150"/>
      <c r="D328" s="150"/>
      <c r="G328" t="s">
        <v>12</v>
      </c>
      <c r="H328" s="42">
        <f>H326*H327</f>
        <v>27703.136110284413</v>
      </c>
    </row>
    <row r="329" spans="1:12" x14ac:dyDescent="0.25">
      <c r="B329" s="28" t="s">
        <v>2</v>
      </c>
      <c r="C329" s="28"/>
      <c r="D329" s="28" t="s">
        <v>79</v>
      </c>
      <c r="E329" s="28" t="s">
        <v>11</v>
      </c>
      <c r="F329" s="28" t="s">
        <v>75</v>
      </c>
      <c r="G329" s="28" t="s">
        <v>76</v>
      </c>
      <c r="H329" s="28" t="s">
        <v>12</v>
      </c>
    </row>
    <row r="330" spans="1:12" x14ac:dyDescent="0.25">
      <c r="B330" s="33" t="s">
        <v>78</v>
      </c>
    </row>
    <row r="331" spans="1:12" x14ac:dyDescent="0.25">
      <c r="D331" t="s">
        <v>232</v>
      </c>
      <c r="E331" t="str">
        <f>E302</f>
        <v>M³</v>
      </c>
      <c r="I331" s="98" t="s">
        <v>139</v>
      </c>
      <c r="J331" s="98" t="s">
        <v>498</v>
      </c>
      <c r="K331" s="98" t="s">
        <v>499</v>
      </c>
      <c r="L331" s="98" t="s">
        <v>499</v>
      </c>
    </row>
    <row r="332" spans="1:12" x14ac:dyDescent="0.25">
      <c r="D332" t="str">
        <f>D303</f>
        <v>CEMENTO CRUZ AZUL</v>
      </c>
      <c r="E332" t="str">
        <f>E303</f>
        <v>Bto</v>
      </c>
      <c r="F332">
        <f>0.3574*20</f>
        <v>7.1479999999999997</v>
      </c>
      <c r="G332" s="39">
        <f>G303</f>
        <v>120</v>
      </c>
      <c r="H332" s="39">
        <f>F332*G332</f>
        <v>857.76</v>
      </c>
      <c r="I332">
        <f>F332*0.12</f>
        <v>0.85775999999999997</v>
      </c>
      <c r="J332">
        <f>I332*H326</f>
        <v>70.859553599999998</v>
      </c>
      <c r="K332">
        <f>10*I332*6</f>
        <v>51.465600000000002</v>
      </c>
      <c r="L332">
        <f>K332/20</f>
        <v>2.57328</v>
      </c>
    </row>
    <row r="333" spans="1:12" x14ac:dyDescent="0.25">
      <c r="D333" t="str">
        <f>D304</f>
        <v xml:space="preserve">ARENA </v>
      </c>
      <c r="E333" t="str">
        <f>E304</f>
        <v>Bote(19lt)</v>
      </c>
      <c r="F333">
        <f>0.4612*50</f>
        <v>23.06</v>
      </c>
      <c r="G333" s="39">
        <f>G304</f>
        <v>7</v>
      </c>
      <c r="H333" s="39">
        <f>F333*G333</f>
        <v>161.41999999999999</v>
      </c>
      <c r="I333">
        <f>F333*0.12</f>
        <v>2.7671999999999999</v>
      </c>
      <c r="J333">
        <f>I333*H326</f>
        <v>228.59839199999999</v>
      </c>
      <c r="K333">
        <f>10*I333*6</f>
        <v>166.03199999999998</v>
      </c>
      <c r="L333">
        <f>K333/40</f>
        <v>4.1507999999999994</v>
      </c>
    </row>
    <row r="334" spans="1:12" x14ac:dyDescent="0.25">
      <c r="D334" t="str">
        <f>D305</f>
        <v>GRAVA</v>
      </c>
      <c r="E334" t="str">
        <f>E305</f>
        <v>Bote(19lt)</v>
      </c>
      <c r="F334">
        <f>0.7319*50</f>
        <v>36.594999999999999</v>
      </c>
      <c r="G334" s="39">
        <f>G305</f>
        <v>14</v>
      </c>
      <c r="H334" s="39">
        <f>F334*G334</f>
        <v>512.32999999999993</v>
      </c>
      <c r="I334">
        <f>F334*0.12</f>
        <v>4.3914</v>
      </c>
      <c r="J334">
        <f>I334*H326</f>
        <v>362.77355399999999</v>
      </c>
      <c r="K334">
        <f>10*I334*6</f>
        <v>263.48400000000004</v>
      </c>
      <c r="L334">
        <f>K334/40</f>
        <v>6.5871000000000013</v>
      </c>
    </row>
    <row r="335" spans="1:12" x14ac:dyDescent="0.25">
      <c r="D335" t="str">
        <f>D306</f>
        <v>AGUA</v>
      </c>
      <c r="E335" t="str">
        <f>E306</f>
        <v>Bote(19lt)</v>
      </c>
      <c r="F335">
        <f>0.234*55.55</f>
        <v>12.998699999999999</v>
      </c>
      <c r="G335" s="39">
        <f>G306</f>
        <v>1</v>
      </c>
      <c r="H335" s="39">
        <f>F335*G335</f>
        <v>12.998699999999999</v>
      </c>
      <c r="I335">
        <f>F335*0.12</f>
        <v>1.5598439999999998</v>
      </c>
      <c r="J335">
        <f>I335*H326</f>
        <v>128.85871283999998</v>
      </c>
      <c r="K335">
        <f>10*I335*6/1000</f>
        <v>9.3590639999999989E-2</v>
      </c>
    </row>
    <row r="336" spans="1:12" x14ac:dyDescent="0.25">
      <c r="G336" t="s">
        <v>9</v>
      </c>
      <c r="H336" s="42">
        <f>H332+H333+H334+H335</f>
        <v>1544.5086999999999</v>
      </c>
    </row>
    <row r="337" spans="1:8" x14ac:dyDescent="0.25">
      <c r="D337" t="str">
        <f>D331</f>
        <v>Concreto F'c 200kg/cm2</v>
      </c>
      <c r="E337" t="str">
        <f>'Generador de obra'!K220</f>
        <v>M²</v>
      </c>
      <c r="F337">
        <v>1</v>
      </c>
      <c r="G337" s="42">
        <f>H336/8.333</f>
        <v>185.34845793831752</v>
      </c>
      <c r="H337" s="39">
        <f>F337*G337</f>
        <v>185.34845793831752</v>
      </c>
    </row>
    <row r="338" spans="1:8" x14ac:dyDescent="0.25">
      <c r="D338" t="str">
        <f>Materiales!A27</f>
        <v>MALLA ELECTRO SOLDADA 6.6/10.10</v>
      </c>
      <c r="E338" t="str">
        <f>'Matrices Costo Directo'!E337</f>
        <v>M²</v>
      </c>
      <c r="F338">
        <v>1</v>
      </c>
      <c r="G338" s="56">
        <f>Materiales!E27</f>
        <v>20</v>
      </c>
      <c r="H338" s="39">
        <f>F338*G338</f>
        <v>20</v>
      </c>
    </row>
    <row r="339" spans="1:8" x14ac:dyDescent="0.25">
      <c r="H339" s="39"/>
    </row>
    <row r="340" spans="1:8" ht="30" x14ac:dyDescent="0.25">
      <c r="B340" s="44" t="s">
        <v>132</v>
      </c>
      <c r="C340" t="s">
        <v>89</v>
      </c>
      <c r="D340" s="1" t="str">
        <f>'Mano de Obra'!A18</f>
        <v>Elaboracion de firme de concreto de 10 a 15 cm incluye mano de obra y herramienta</v>
      </c>
      <c r="E340" t="str">
        <f>E338</f>
        <v>M²</v>
      </c>
      <c r="F340">
        <f>'Generador de obra'!J220</f>
        <v>82.61</v>
      </c>
      <c r="G340" s="42">
        <f>'Mano de Obra'!C18</f>
        <v>130</v>
      </c>
      <c r="H340" s="42">
        <f>F340*G340</f>
        <v>10739.3</v>
      </c>
    </row>
    <row r="341" spans="1:8" x14ac:dyDescent="0.25">
      <c r="H341" s="39"/>
    </row>
    <row r="342" spans="1:8" x14ac:dyDescent="0.25">
      <c r="A342" s="24"/>
      <c r="B342" s="150" t="str">
        <f>'Generador de obra'!B221</f>
        <v>Colocacion de Loseta lamosa .44X.44 Café LINIA1QS, incluye mano de obra, herramienta, material y todo para su correcta colocacion</v>
      </c>
      <c r="C342" s="150"/>
      <c r="D342" s="150"/>
      <c r="G342" t="s">
        <v>11</v>
      </c>
      <c r="H342" t="str">
        <f>E347</f>
        <v>M²</v>
      </c>
    </row>
    <row r="343" spans="1:8" x14ac:dyDescent="0.25">
      <c r="A343" s="24"/>
      <c r="B343" s="150"/>
      <c r="C343" s="150"/>
      <c r="D343" s="150"/>
      <c r="G343" t="s">
        <v>75</v>
      </c>
      <c r="H343">
        <f>F351</f>
        <v>83.12</v>
      </c>
    </row>
    <row r="344" spans="1:8" x14ac:dyDescent="0.25">
      <c r="A344" s="24"/>
      <c r="B344" s="150"/>
      <c r="C344" s="150"/>
      <c r="D344" s="150"/>
      <c r="G344" t="s">
        <v>76</v>
      </c>
      <c r="H344" s="39">
        <f>G347+G348+G351</f>
        <v>336.67</v>
      </c>
    </row>
    <row r="345" spans="1:8" x14ac:dyDescent="0.25">
      <c r="A345" s="24"/>
      <c r="B345" s="150"/>
      <c r="C345" s="150"/>
      <c r="D345" s="150"/>
      <c r="G345" t="s">
        <v>12</v>
      </c>
      <c r="H345" s="42">
        <f>H343*H344</f>
        <v>27984.010400000003</v>
      </c>
    </row>
    <row r="346" spans="1:8" x14ac:dyDescent="0.25">
      <c r="B346" s="28" t="s">
        <v>2</v>
      </c>
      <c r="D346" s="28" t="s">
        <v>79</v>
      </c>
      <c r="E346" s="28" t="s">
        <v>11</v>
      </c>
      <c r="F346" s="28" t="s">
        <v>75</v>
      </c>
      <c r="G346" s="28" t="s">
        <v>76</v>
      </c>
      <c r="H346" s="28" t="s">
        <v>12</v>
      </c>
    </row>
    <row r="347" spans="1:8" x14ac:dyDescent="0.25">
      <c r="B347" s="33" t="s">
        <v>78</v>
      </c>
      <c r="D347" t="str">
        <f>Materiales!A43</f>
        <v>LOSETA LAMOSA 44X44 CAFÉ LINIA1QS</v>
      </c>
      <c r="E347" t="str">
        <f>'Generador de obra'!K220</f>
        <v>M²</v>
      </c>
      <c r="F347">
        <f>'Generador de obra'!J221</f>
        <v>83.12</v>
      </c>
      <c r="G347" s="35">
        <v>229.87</v>
      </c>
      <c r="H347" s="35">
        <f>F347*G347</f>
        <v>19106.794400000002</v>
      </c>
    </row>
    <row r="348" spans="1:8" x14ac:dyDescent="0.25">
      <c r="D348" t="str">
        <f>Materiales!A15</f>
        <v>PEGAZULEJO NIASA</v>
      </c>
      <c r="E348" t="str">
        <f>E347</f>
        <v>M²</v>
      </c>
      <c r="F348">
        <f>F347</f>
        <v>83.12</v>
      </c>
      <c r="G348" s="19">
        <f>Materiales!E15/5</f>
        <v>16.8</v>
      </c>
      <c r="H348" s="19">
        <f>F348*G348</f>
        <v>1396.4160000000002</v>
      </c>
    </row>
    <row r="351" spans="1:8" ht="30" x14ac:dyDescent="0.25">
      <c r="B351" s="44" t="s">
        <v>132</v>
      </c>
      <c r="C351" t="s">
        <v>333</v>
      </c>
      <c r="D351" s="1" t="str">
        <f>'Mano de Obra'!A27</f>
        <v>Colocacion de loseta incluye nivelado, mano de obra y herramienta para su correcta colocacion</v>
      </c>
      <c r="E351" t="str">
        <f>E347</f>
        <v>M²</v>
      </c>
      <c r="F351">
        <f>F348</f>
        <v>83.12</v>
      </c>
      <c r="G351" s="39">
        <f>'Mano de Obra'!C27</f>
        <v>90</v>
      </c>
      <c r="H351" s="39">
        <f>F351*G351</f>
        <v>7480.8</v>
      </c>
    </row>
    <row r="353" spans="1:8" x14ac:dyDescent="0.25">
      <c r="A353" s="24"/>
      <c r="B353" s="150" t="str">
        <f>'Generador de obra'!B223</f>
        <v>Colocacion de Loseta lamosa .44X.44 Chocolate  LCERA1O7, incluye mano de obra, herramienta, material y todo para su correcta colocacion</v>
      </c>
      <c r="C353" s="150"/>
      <c r="D353" s="150"/>
      <c r="G353" t="s">
        <v>11</v>
      </c>
      <c r="H353" t="str">
        <f>E359</f>
        <v>M²</v>
      </c>
    </row>
    <row r="354" spans="1:8" x14ac:dyDescent="0.25">
      <c r="A354" s="2"/>
      <c r="B354" s="150"/>
      <c r="C354" s="150"/>
      <c r="D354" s="150"/>
      <c r="G354" t="s">
        <v>75</v>
      </c>
      <c r="H354">
        <f>F362</f>
        <v>4.99</v>
      </c>
    </row>
    <row r="355" spans="1:8" x14ac:dyDescent="0.25">
      <c r="A355" s="2"/>
      <c r="B355" s="150"/>
      <c r="C355" s="150"/>
      <c r="D355" s="150"/>
      <c r="G355" t="s">
        <v>76</v>
      </c>
      <c r="H355" s="39">
        <f>G359+G360+G362</f>
        <v>309.39</v>
      </c>
    </row>
    <row r="356" spans="1:8" x14ac:dyDescent="0.25">
      <c r="A356" s="2"/>
      <c r="B356" s="150"/>
      <c r="C356" s="150"/>
      <c r="D356" s="150"/>
      <c r="G356" t="s">
        <v>12</v>
      </c>
      <c r="H356" s="42">
        <f>H354*H355</f>
        <v>1543.8561</v>
      </c>
    </row>
    <row r="357" spans="1:8" x14ac:dyDescent="0.25">
      <c r="B357" s="28" t="s">
        <v>2</v>
      </c>
      <c r="D357" s="28" t="s">
        <v>79</v>
      </c>
      <c r="E357" s="28" t="s">
        <v>11</v>
      </c>
      <c r="F357" s="28" t="s">
        <v>75</v>
      </c>
      <c r="G357" s="28" t="s">
        <v>76</v>
      </c>
      <c r="H357" s="28" t="s">
        <v>12</v>
      </c>
    </row>
    <row r="358" spans="1:8" x14ac:dyDescent="0.25">
      <c r="B358" s="33" t="s">
        <v>78</v>
      </c>
    </row>
    <row r="359" spans="1:8" x14ac:dyDescent="0.25">
      <c r="D359" t="str">
        <f>Materiales!A44</f>
        <v>LOSETA LAMOSA 44X44 BEIGE LCERA1O7</v>
      </c>
      <c r="E359" t="str">
        <f>E347</f>
        <v>M²</v>
      </c>
      <c r="F359">
        <v>4.99</v>
      </c>
      <c r="G359" s="35">
        <v>202.59</v>
      </c>
      <c r="H359" s="15">
        <f>F359*G359</f>
        <v>1010.9241000000001</v>
      </c>
    </row>
    <row r="360" spans="1:8" x14ac:dyDescent="0.25">
      <c r="D360" t="str">
        <f>D348</f>
        <v>PEGAZULEJO NIASA</v>
      </c>
      <c r="E360" t="str">
        <f>E348</f>
        <v>M²</v>
      </c>
      <c r="F360">
        <f>F359</f>
        <v>4.99</v>
      </c>
      <c r="G360">
        <f>G348</f>
        <v>16.8</v>
      </c>
      <c r="H360" s="10">
        <f>F360*G360</f>
        <v>83.832000000000008</v>
      </c>
    </row>
    <row r="362" spans="1:8" ht="30" x14ac:dyDescent="0.25">
      <c r="B362" s="44" t="s">
        <v>132</v>
      </c>
      <c r="C362" t="s">
        <v>333</v>
      </c>
      <c r="D362" s="1" t="str">
        <f>D351</f>
        <v>Colocacion de loseta incluye nivelado, mano de obra y herramienta para su correcta colocacion</v>
      </c>
      <c r="E362" t="str">
        <f>E351</f>
        <v>M²</v>
      </c>
      <c r="F362">
        <f>F359</f>
        <v>4.99</v>
      </c>
      <c r="G362" s="39">
        <f>'Mano de Obra'!C27</f>
        <v>90</v>
      </c>
      <c r="H362" s="42">
        <f>F362*G362</f>
        <v>449.1</v>
      </c>
    </row>
    <row r="366" spans="1:8" x14ac:dyDescent="0.25">
      <c r="A366" s="158" t="s">
        <v>236</v>
      </c>
      <c r="B366" s="158"/>
      <c r="C366" s="158"/>
      <c r="D366" s="158"/>
      <c r="E366" s="48">
        <f>H356+H345+H328</f>
        <v>57231.002610284413</v>
      </c>
    </row>
    <row r="369" spans="1:12" x14ac:dyDescent="0.25">
      <c r="A369" s="140" t="s">
        <v>95</v>
      </c>
      <c r="B369" s="140"/>
      <c r="C369" s="140"/>
      <c r="D369" s="140"/>
      <c r="E369" s="140"/>
      <c r="F369" s="140"/>
      <c r="G369" s="140"/>
      <c r="H369" s="140"/>
      <c r="I369" s="140"/>
      <c r="J369" s="140"/>
      <c r="K369" s="140"/>
      <c r="L369" s="140"/>
    </row>
    <row r="370" spans="1:12" x14ac:dyDescent="0.25">
      <c r="A370" s="24"/>
      <c r="B370" s="150" t="str">
        <f>'Generador de obra'!B227</f>
        <v>Elaboracion y colocacion de ventanas con dimensiones de 1.50x1.10 incluye mano de obra y material para correcta colocacion</v>
      </c>
      <c r="C370" s="150"/>
      <c r="D370" s="150"/>
      <c r="G370" t="s">
        <v>11</v>
      </c>
      <c r="H370" t="str">
        <f>E376</f>
        <v>Pza</v>
      </c>
    </row>
    <row r="371" spans="1:12" x14ac:dyDescent="0.25">
      <c r="A371" s="2"/>
      <c r="B371" s="150"/>
      <c r="C371" s="150"/>
      <c r="D371" s="150"/>
      <c r="G371" t="s">
        <v>75</v>
      </c>
      <c r="H371">
        <f>F376</f>
        <v>9</v>
      </c>
    </row>
    <row r="372" spans="1:12" x14ac:dyDescent="0.25">
      <c r="A372" s="2"/>
      <c r="B372" s="150"/>
      <c r="C372" s="150"/>
      <c r="D372" s="150"/>
      <c r="G372" t="s">
        <v>76</v>
      </c>
      <c r="H372" s="39">
        <f>G376</f>
        <v>1000</v>
      </c>
    </row>
    <row r="373" spans="1:12" x14ac:dyDescent="0.25">
      <c r="A373" s="2"/>
      <c r="B373" s="150"/>
      <c r="C373" s="150"/>
      <c r="D373" s="150"/>
      <c r="G373" t="s">
        <v>12</v>
      </c>
      <c r="H373" s="42">
        <f>H371*H372</f>
        <v>9000</v>
      </c>
    </row>
    <row r="374" spans="1:12" x14ac:dyDescent="0.25">
      <c r="B374" s="28" t="s">
        <v>2</v>
      </c>
      <c r="D374" s="28" t="s">
        <v>79</v>
      </c>
      <c r="E374" s="28" t="s">
        <v>11</v>
      </c>
      <c r="F374" s="28" t="s">
        <v>75</v>
      </c>
      <c r="G374" s="28" t="s">
        <v>76</v>
      </c>
      <c r="H374" s="28" t="s">
        <v>12</v>
      </c>
    </row>
    <row r="375" spans="1:12" x14ac:dyDescent="0.25">
      <c r="B375" s="33" t="s">
        <v>78</v>
      </c>
    </row>
    <row r="376" spans="1:12" ht="30" x14ac:dyDescent="0.25">
      <c r="D376" s="1" t="str">
        <f>Materiales!A60</f>
        <v>VENTANA DE PERFIL COLOR HUMO, CON VIDRIO DE 3MM DE .90X1.20</v>
      </c>
      <c r="E376" t="s">
        <v>34</v>
      </c>
      <c r="F376">
        <f>'Generador de obra'!H227</f>
        <v>9</v>
      </c>
      <c r="G376" s="35">
        <f>Materiales!B60</f>
        <v>1000</v>
      </c>
      <c r="H376" s="39">
        <f>F376*G376</f>
        <v>9000</v>
      </c>
    </row>
    <row r="377" spans="1:12" x14ac:dyDescent="0.25">
      <c r="D377" t="s">
        <v>229</v>
      </c>
    </row>
    <row r="378" spans="1:12" x14ac:dyDescent="0.25">
      <c r="B378" s="33" t="s">
        <v>77</v>
      </c>
      <c r="C378" t="s">
        <v>200</v>
      </c>
      <c r="D378" s="1"/>
    </row>
    <row r="379" spans="1:12" x14ac:dyDescent="0.25">
      <c r="D379" s="1"/>
    </row>
    <row r="380" spans="1:12" x14ac:dyDescent="0.25">
      <c r="A380" s="24"/>
      <c r="B380" s="150" t="str">
        <f>'Generador de obra'!B228</f>
        <v>Elaboracion y colocacion de ventanas con dimensiones de 2.00x1.10 incluye mano de obra y material para correcta colocacion</v>
      </c>
      <c r="C380" s="150"/>
      <c r="D380" s="150"/>
      <c r="G380" t="s">
        <v>11</v>
      </c>
      <c r="H380" t="str">
        <f>E386</f>
        <v>Pza</v>
      </c>
    </row>
    <row r="381" spans="1:12" x14ac:dyDescent="0.25">
      <c r="A381" s="2"/>
      <c r="B381" s="150"/>
      <c r="C381" s="150"/>
      <c r="D381" s="150"/>
      <c r="G381" t="s">
        <v>75</v>
      </c>
      <c r="H381">
        <f>F386</f>
        <v>2</v>
      </c>
    </row>
    <row r="382" spans="1:12" x14ac:dyDescent="0.25">
      <c r="A382" s="2"/>
      <c r="B382" s="150"/>
      <c r="C382" s="150"/>
      <c r="D382" s="150"/>
      <c r="G382" t="s">
        <v>76</v>
      </c>
      <c r="H382" s="39">
        <f>G386</f>
        <v>850</v>
      </c>
    </row>
    <row r="383" spans="1:12" x14ac:dyDescent="0.25">
      <c r="A383" s="2"/>
      <c r="B383" s="150"/>
      <c r="C383" s="150"/>
      <c r="D383" s="150"/>
      <c r="G383" t="s">
        <v>12</v>
      </c>
      <c r="H383" s="42">
        <f>H381*H382</f>
        <v>1700</v>
      </c>
    </row>
    <row r="384" spans="1:12" x14ac:dyDescent="0.25">
      <c r="B384" s="28" t="s">
        <v>2</v>
      </c>
      <c r="D384" s="28" t="s">
        <v>79</v>
      </c>
      <c r="E384" s="28" t="s">
        <v>11</v>
      </c>
      <c r="F384" s="28" t="s">
        <v>75</v>
      </c>
      <c r="G384" s="28" t="s">
        <v>76</v>
      </c>
      <c r="H384" s="28" t="s">
        <v>12</v>
      </c>
    </row>
    <row r="385" spans="1:8" x14ac:dyDescent="0.25">
      <c r="B385" s="33" t="s">
        <v>78</v>
      </c>
    </row>
    <row r="386" spans="1:8" ht="30" x14ac:dyDescent="0.25">
      <c r="D386" s="1" t="str">
        <f>Materiales!A61</f>
        <v>VENTANA DE PERFIL COLOR HUMO, CON VIDRIO DE 3MM DE .90X.60</v>
      </c>
      <c r="E386" t="str">
        <f>'Generador de obra'!K228</f>
        <v>Pza</v>
      </c>
      <c r="F386">
        <f>'Generador de obra'!H228</f>
        <v>2</v>
      </c>
      <c r="G386" s="35">
        <f>Materiales!B61</f>
        <v>850</v>
      </c>
      <c r="H386" s="42">
        <f>F386*G386</f>
        <v>1700</v>
      </c>
    </row>
    <row r="387" spans="1:8" x14ac:dyDescent="0.25">
      <c r="D387" t="s">
        <v>229</v>
      </c>
    </row>
    <row r="388" spans="1:8" x14ac:dyDescent="0.25">
      <c r="B388" s="33" t="s">
        <v>77</v>
      </c>
      <c r="C388" t="s">
        <v>200</v>
      </c>
      <c r="D388" s="1"/>
    </row>
    <row r="389" spans="1:8" x14ac:dyDescent="0.25">
      <c r="D389" s="1"/>
    </row>
    <row r="391" spans="1:8" x14ac:dyDescent="0.25">
      <c r="A391" s="24"/>
      <c r="B391" s="150" t="str">
        <f>'Generador de obra'!B229</f>
        <v xml:space="preserve">Instalacion de w.c. Marca Castel modelo ZEUS color hueso, incluye mano de obra, accesorios y herramienta para su correcta instalacion </v>
      </c>
      <c r="C391" s="150"/>
      <c r="D391" s="150"/>
      <c r="G391" t="s">
        <v>11</v>
      </c>
      <c r="H391" t="str">
        <f>E397</f>
        <v>Pza</v>
      </c>
    </row>
    <row r="392" spans="1:8" x14ac:dyDescent="0.25">
      <c r="A392" s="2"/>
      <c r="B392" s="150"/>
      <c r="C392" s="150"/>
      <c r="D392" s="150"/>
      <c r="G392" t="s">
        <v>75</v>
      </c>
      <c r="H392">
        <f>F397</f>
        <v>1</v>
      </c>
    </row>
    <row r="393" spans="1:8" x14ac:dyDescent="0.25">
      <c r="A393" s="2"/>
      <c r="B393" s="150"/>
      <c r="C393" s="150"/>
      <c r="D393" s="150"/>
      <c r="G393" t="s">
        <v>76</v>
      </c>
      <c r="H393" s="39">
        <f>G397+G400</f>
        <v>2049</v>
      </c>
    </row>
    <row r="394" spans="1:8" x14ac:dyDescent="0.25">
      <c r="A394" s="2"/>
      <c r="B394" s="150"/>
      <c r="C394" s="150"/>
      <c r="D394" s="150"/>
      <c r="G394" t="s">
        <v>12</v>
      </c>
      <c r="H394" s="42">
        <f>H392*H393</f>
        <v>2049</v>
      </c>
    </row>
    <row r="395" spans="1:8" x14ac:dyDescent="0.25">
      <c r="B395" s="28" t="s">
        <v>2</v>
      </c>
      <c r="D395" s="28" t="s">
        <v>79</v>
      </c>
      <c r="E395" s="28" t="s">
        <v>11</v>
      </c>
      <c r="F395" s="28" t="s">
        <v>75</v>
      </c>
      <c r="G395" s="28" t="s">
        <v>76</v>
      </c>
      <c r="H395" s="28" t="s">
        <v>12</v>
      </c>
    </row>
    <row r="396" spans="1:8" x14ac:dyDescent="0.25">
      <c r="B396" s="33" t="s">
        <v>78</v>
      </c>
    </row>
    <row r="397" spans="1:8" x14ac:dyDescent="0.25">
      <c r="A397" s="28"/>
      <c r="B397" s="28"/>
      <c r="D397" t="str">
        <f>Materiales!A52</f>
        <v>W.C. MARCA CASTEL MODELO ZEUZ COLOR HUESO</v>
      </c>
      <c r="E397" t="str">
        <f>'Generador de obra'!K229</f>
        <v>Pza</v>
      </c>
      <c r="F397">
        <f>'Generador de obra'!J229</f>
        <v>1</v>
      </c>
      <c r="G397" s="45">
        <f>Materiales!B52</f>
        <v>1899</v>
      </c>
      <c r="H397" s="42">
        <f>F397*G397</f>
        <v>1899</v>
      </c>
    </row>
    <row r="398" spans="1:8" x14ac:dyDescent="0.25">
      <c r="A398" s="28"/>
      <c r="B398" s="28"/>
      <c r="D398" t="s">
        <v>230</v>
      </c>
    </row>
    <row r="399" spans="1:8" x14ac:dyDescent="0.25">
      <c r="A399" s="28"/>
      <c r="B399" s="28"/>
    </row>
    <row r="400" spans="1:8" ht="30" x14ac:dyDescent="0.25">
      <c r="A400" s="28"/>
      <c r="B400" s="33" t="s">
        <v>77</v>
      </c>
      <c r="C400" t="s">
        <v>180</v>
      </c>
      <c r="D400" s="1" t="str">
        <f>'Mano de Obra'!A21</f>
        <v>Instalacion de W.C. incluye mano de obra y herramienta para su correcta colocacion</v>
      </c>
      <c r="E400" t="str">
        <f>'Mano de Obra'!B21</f>
        <v>Pza</v>
      </c>
      <c r="F400">
        <f>F397</f>
        <v>1</v>
      </c>
      <c r="G400" s="42">
        <f>'Mano de Obra'!C21</f>
        <v>150</v>
      </c>
      <c r="H400" s="42">
        <f>F400*G400</f>
        <v>150</v>
      </c>
    </row>
    <row r="401" spans="1:8" x14ac:dyDescent="0.25">
      <c r="A401" s="28"/>
      <c r="B401" s="28"/>
    </row>
    <row r="402" spans="1:8" ht="15.75" customHeight="1" x14ac:dyDescent="0.25">
      <c r="A402" s="24"/>
      <c r="B402" s="150" t="str">
        <f>'Generador de obra'!B230</f>
        <v>Instalacion de lavabo marca american standart modelo habitat color hueso incluye manerales y pedestal</v>
      </c>
      <c r="C402" s="150"/>
      <c r="D402" s="150"/>
      <c r="G402" t="s">
        <v>11</v>
      </c>
      <c r="H402" t="str">
        <f>E408</f>
        <v>Pza</v>
      </c>
    </row>
    <row r="403" spans="1:8" x14ac:dyDescent="0.25">
      <c r="A403" s="2"/>
      <c r="B403" s="150"/>
      <c r="C403" s="150"/>
      <c r="D403" s="150"/>
      <c r="G403" t="s">
        <v>75</v>
      </c>
      <c r="H403">
        <f>F408</f>
        <v>1</v>
      </c>
    </row>
    <row r="404" spans="1:8" x14ac:dyDescent="0.25">
      <c r="A404" s="2"/>
      <c r="B404" s="150"/>
      <c r="C404" s="150"/>
      <c r="D404" s="150"/>
      <c r="G404" t="s">
        <v>76</v>
      </c>
      <c r="H404" s="39">
        <f>G408+G410</f>
        <v>1099</v>
      </c>
    </row>
    <row r="405" spans="1:8" x14ac:dyDescent="0.25">
      <c r="A405" s="2"/>
      <c r="B405" s="150"/>
      <c r="C405" s="150"/>
      <c r="D405" s="150"/>
      <c r="G405" t="s">
        <v>12</v>
      </c>
      <c r="H405" s="42">
        <f>H403*H404</f>
        <v>1099</v>
      </c>
    </row>
    <row r="406" spans="1:8" x14ac:dyDescent="0.25">
      <c r="B406" s="28" t="s">
        <v>2</v>
      </c>
      <c r="D406" s="28" t="s">
        <v>79</v>
      </c>
      <c r="E406" s="28" t="s">
        <v>11</v>
      </c>
      <c r="F406" s="28" t="s">
        <v>75</v>
      </c>
      <c r="G406" s="28" t="s">
        <v>76</v>
      </c>
      <c r="H406" s="28" t="s">
        <v>12</v>
      </c>
    </row>
    <row r="407" spans="1:8" x14ac:dyDescent="0.25">
      <c r="B407" s="33" t="s">
        <v>78</v>
      </c>
    </row>
    <row r="408" spans="1:8" ht="30" x14ac:dyDescent="0.25">
      <c r="B408" s="28"/>
      <c r="D408" s="1" t="str">
        <f>Materiales!A53</f>
        <v>LAVABO AMERICAN STÁNDAR MODELO HABITATCOLOR HUESO INCLUYE LLAVES Y PEDESTAL</v>
      </c>
      <c r="E408" t="str">
        <f>'Generador de obra'!K230</f>
        <v>Pza</v>
      </c>
      <c r="F408">
        <f>'Generador de obra'!J230</f>
        <v>1</v>
      </c>
      <c r="G408" s="35">
        <f>Materiales!B53</f>
        <v>949</v>
      </c>
      <c r="H408" s="42">
        <f>G408*F408</f>
        <v>949</v>
      </c>
    </row>
    <row r="409" spans="1:8" x14ac:dyDescent="0.25">
      <c r="B409" s="28"/>
    </row>
    <row r="410" spans="1:8" ht="30" x14ac:dyDescent="0.25">
      <c r="B410" s="33" t="s">
        <v>77</v>
      </c>
      <c r="C410" t="s">
        <v>180</v>
      </c>
      <c r="D410" s="1" t="str">
        <f>'Mano de Obra'!A22</f>
        <v>Instalacion de Lavabo incluye mano de obra y herramienta para su correcta colocacion</v>
      </c>
      <c r="E410" t="str">
        <f>'Mano de Obra'!B22</f>
        <v>Pza</v>
      </c>
      <c r="F410">
        <v>1</v>
      </c>
      <c r="G410" s="42">
        <f>'Mano de Obra'!C22</f>
        <v>150</v>
      </c>
      <c r="H410" s="42">
        <f>F410*G410</f>
        <v>150</v>
      </c>
    </row>
    <row r="412" spans="1:8" x14ac:dyDescent="0.25">
      <c r="A412" s="24"/>
      <c r="B412" s="150" t="str">
        <f>'Generador de obra'!B231</f>
        <v>Instalacion y entrega de cocina integral marca Ready kitchen modelo PK240P7-WH. Incluye mano de obra y herramienta para su correcta instalacion</v>
      </c>
      <c r="C412" s="150"/>
      <c r="D412" s="150"/>
      <c r="G412" t="s">
        <v>11</v>
      </c>
      <c r="H412" t="str">
        <f>E418</f>
        <v>Pza</v>
      </c>
    </row>
    <row r="413" spans="1:8" x14ac:dyDescent="0.25">
      <c r="A413" s="2"/>
      <c r="B413" s="150"/>
      <c r="C413" s="150"/>
      <c r="D413" s="150"/>
      <c r="G413" t="s">
        <v>75</v>
      </c>
      <c r="H413">
        <f>F418</f>
        <v>1</v>
      </c>
    </row>
    <row r="414" spans="1:8" x14ac:dyDescent="0.25">
      <c r="A414" s="2"/>
      <c r="B414" s="150"/>
      <c r="C414" s="150"/>
      <c r="D414" s="150"/>
      <c r="G414" t="s">
        <v>76</v>
      </c>
      <c r="H414" s="39">
        <f>H418</f>
        <v>7999</v>
      </c>
    </row>
    <row r="415" spans="1:8" x14ac:dyDescent="0.25">
      <c r="A415" s="2"/>
      <c r="B415" s="150"/>
      <c r="C415" s="150"/>
      <c r="D415" s="150"/>
      <c r="G415" t="s">
        <v>12</v>
      </c>
      <c r="H415" s="42">
        <f>H413*H414</f>
        <v>7999</v>
      </c>
    </row>
    <row r="416" spans="1:8" x14ac:dyDescent="0.25">
      <c r="B416" s="28" t="s">
        <v>2</v>
      </c>
      <c r="D416" s="28" t="s">
        <v>79</v>
      </c>
      <c r="E416" s="28" t="s">
        <v>11</v>
      </c>
      <c r="F416" s="28" t="s">
        <v>75</v>
      </c>
      <c r="G416" s="28" t="s">
        <v>76</v>
      </c>
      <c r="H416" s="28" t="s">
        <v>12</v>
      </c>
    </row>
    <row r="417" spans="1:8" x14ac:dyDescent="0.25">
      <c r="B417" s="33" t="s">
        <v>78</v>
      </c>
    </row>
    <row r="418" spans="1:8" ht="30" x14ac:dyDescent="0.25">
      <c r="B418" s="28"/>
      <c r="D418" s="1" t="str">
        <f>Materiales!A54</f>
        <v>COCINA INTEGRAL MARCA READY KITCHEN PAQUETE DE COCINA BLANCA MODELO PK240P7-WH.  </v>
      </c>
      <c r="E418" t="str">
        <f>'Generador de obra'!K231</f>
        <v>Pza</v>
      </c>
      <c r="F418">
        <f>'Generador de obra'!J231</f>
        <v>1</v>
      </c>
      <c r="G418" s="35">
        <f>Materiales!B54</f>
        <v>7999</v>
      </c>
      <c r="H418" s="42">
        <f>G418</f>
        <v>7999</v>
      </c>
    </row>
    <row r="419" spans="1:8" x14ac:dyDescent="0.25">
      <c r="B419" s="28"/>
    </row>
    <row r="420" spans="1:8" x14ac:dyDescent="0.25">
      <c r="B420" s="33" t="s">
        <v>77</v>
      </c>
      <c r="D420" t="s">
        <v>218</v>
      </c>
    </row>
    <row r="421" spans="1:8" x14ac:dyDescent="0.25">
      <c r="A421" s="28"/>
      <c r="B421" s="28"/>
    </row>
    <row r="422" spans="1:8" x14ac:dyDescent="0.25">
      <c r="A422" s="24"/>
      <c r="B422" s="150" t="str">
        <f>'Generador de obra'!B232</f>
        <v xml:space="preserve">Instalacion de calentador de paso Calorex de 6lt incluye mano de obra, materiales y herramienta para su correcta instalacion </v>
      </c>
      <c r="C422" s="150"/>
      <c r="D422" s="150"/>
      <c r="G422" t="s">
        <v>11</v>
      </c>
      <c r="H422" t="s">
        <v>34</v>
      </c>
    </row>
    <row r="423" spans="1:8" x14ac:dyDescent="0.25">
      <c r="A423" s="2"/>
      <c r="B423" s="150"/>
      <c r="C423" s="150"/>
      <c r="D423" s="150"/>
      <c r="G423" t="s">
        <v>75</v>
      </c>
      <c r="H423">
        <f>F428</f>
        <v>1</v>
      </c>
    </row>
    <row r="424" spans="1:8" x14ac:dyDescent="0.25">
      <c r="A424" s="2"/>
      <c r="B424" s="150"/>
      <c r="C424" s="150"/>
      <c r="D424" s="150"/>
      <c r="G424" t="s">
        <v>76</v>
      </c>
      <c r="H424" s="39">
        <f>G428+G430</f>
        <v>3186</v>
      </c>
    </row>
    <row r="425" spans="1:8" x14ac:dyDescent="0.25">
      <c r="A425" s="2"/>
      <c r="B425" s="150"/>
      <c r="C425" s="150"/>
      <c r="D425" s="150"/>
      <c r="G425" t="s">
        <v>12</v>
      </c>
      <c r="H425" s="42">
        <f>H424*H423</f>
        <v>3186</v>
      </c>
    </row>
    <row r="426" spans="1:8" x14ac:dyDescent="0.25">
      <c r="B426" s="28" t="s">
        <v>2</v>
      </c>
      <c r="D426" s="28" t="s">
        <v>79</v>
      </c>
      <c r="E426" s="28" t="s">
        <v>11</v>
      </c>
      <c r="F426" s="28" t="s">
        <v>75</v>
      </c>
      <c r="G426" s="28" t="s">
        <v>76</v>
      </c>
      <c r="H426" s="28" t="s">
        <v>12</v>
      </c>
    </row>
    <row r="427" spans="1:8" x14ac:dyDescent="0.25">
      <c r="B427" s="33" t="s">
        <v>78</v>
      </c>
      <c r="D427" s="28"/>
      <c r="E427" s="28"/>
      <c r="F427" s="28"/>
      <c r="G427" s="28"/>
      <c r="H427" s="28"/>
    </row>
    <row r="428" spans="1:8" x14ac:dyDescent="0.25">
      <c r="B428" s="28"/>
      <c r="D428" s="28" t="str">
        <f>Materiales!A56</f>
        <v>CALENTADOR DE PASO CALOREX DE 6LT</v>
      </c>
      <c r="E428" s="28" t="str">
        <f>'Generador de obra'!K232</f>
        <v>Pza</v>
      </c>
      <c r="F428" s="28">
        <f>'Generador de obra'!J232</f>
        <v>1</v>
      </c>
      <c r="G428" s="51">
        <f>Materiales!B56</f>
        <v>2986</v>
      </c>
      <c r="H428" s="52">
        <f>F428*G428</f>
        <v>2986</v>
      </c>
    </row>
    <row r="429" spans="1:8" x14ac:dyDescent="0.25">
      <c r="B429" s="28"/>
      <c r="D429" s="28"/>
      <c r="E429" s="28"/>
      <c r="F429" s="28"/>
      <c r="G429" s="28"/>
      <c r="H429" s="28"/>
    </row>
    <row r="430" spans="1:8" ht="30" x14ac:dyDescent="0.25">
      <c r="B430" s="33" t="s">
        <v>77</v>
      </c>
      <c r="C430" t="s">
        <v>180</v>
      </c>
      <c r="D430" s="74" t="str">
        <f>'Mano de Obra'!A23</f>
        <v>Instalacion de calentador incluye mano de obra y herramienta para su correcta colocacion</v>
      </c>
      <c r="E430" s="28" t="str">
        <f>'Mano de Obra'!B23</f>
        <v>Pza</v>
      </c>
      <c r="F430" s="28">
        <f>F428</f>
        <v>1</v>
      </c>
      <c r="G430" s="55">
        <f>'Mano de Obra'!C23</f>
        <v>200</v>
      </c>
      <c r="H430" s="55">
        <f>G430*F430</f>
        <v>200</v>
      </c>
    </row>
    <row r="431" spans="1:8" x14ac:dyDescent="0.25">
      <c r="A431" s="28"/>
      <c r="B431" s="28"/>
      <c r="D431" s="28"/>
      <c r="E431" s="28"/>
      <c r="F431" s="28"/>
      <c r="G431" s="28"/>
      <c r="H431" s="28"/>
    </row>
    <row r="432" spans="1:8" x14ac:dyDescent="0.25">
      <c r="A432" s="24"/>
      <c r="B432" s="150" t="str">
        <f>'Generador de obra'!B233</f>
        <v xml:space="preserve">suministro e instalacion de tinaco rotoplas de 1100lt incluye accesorios, mano de obra y herramienta para su correcta instalacion </v>
      </c>
      <c r="C432" s="150"/>
      <c r="D432" s="150"/>
      <c r="G432" t="s">
        <v>11</v>
      </c>
      <c r="H432" t="str">
        <f>E438</f>
        <v>Pza</v>
      </c>
    </row>
    <row r="433" spans="1:12" x14ac:dyDescent="0.25">
      <c r="A433" s="2"/>
      <c r="B433" s="150"/>
      <c r="C433" s="150"/>
      <c r="D433" s="150"/>
      <c r="G433" t="s">
        <v>75</v>
      </c>
      <c r="H433">
        <f>F438</f>
        <v>1</v>
      </c>
    </row>
    <row r="434" spans="1:12" x14ac:dyDescent="0.25">
      <c r="A434" s="2"/>
      <c r="B434" s="150"/>
      <c r="C434" s="150"/>
      <c r="D434" s="150"/>
      <c r="G434" t="s">
        <v>76</v>
      </c>
      <c r="H434" s="39">
        <f>G438+G441</f>
        <v>1800</v>
      </c>
    </row>
    <row r="435" spans="1:12" x14ac:dyDescent="0.25">
      <c r="A435" s="2"/>
      <c r="B435" s="150"/>
      <c r="C435" s="150"/>
      <c r="D435" s="150"/>
      <c r="G435" t="s">
        <v>12</v>
      </c>
      <c r="H435" s="42">
        <f>H433*H434</f>
        <v>1800</v>
      </c>
    </row>
    <row r="436" spans="1:12" x14ac:dyDescent="0.25">
      <c r="B436" s="28" t="s">
        <v>2</v>
      </c>
      <c r="D436" s="28" t="s">
        <v>79</v>
      </c>
      <c r="E436" s="28" t="s">
        <v>11</v>
      </c>
      <c r="F436" s="28" t="s">
        <v>75</v>
      </c>
      <c r="G436" s="28" t="s">
        <v>76</v>
      </c>
      <c r="H436" s="28" t="s">
        <v>12</v>
      </c>
    </row>
    <row r="437" spans="1:12" x14ac:dyDescent="0.25">
      <c r="B437" s="33" t="s">
        <v>78</v>
      </c>
    </row>
    <row r="438" spans="1:12" x14ac:dyDescent="0.25">
      <c r="D438" t="str">
        <f>Materiales!A55</f>
        <v>TINACO ROTOPLAS DE 1100LT INCLUYE ACCESORIOS</v>
      </c>
      <c r="E438" t="str">
        <f>'Generador de obra'!K233</f>
        <v>Pza</v>
      </c>
      <c r="F438">
        <f>'Generador de obra'!J233</f>
        <v>1</v>
      </c>
      <c r="G438" s="15">
        <f>Materiales!B55</f>
        <v>1600</v>
      </c>
      <c r="H438" s="15">
        <f>F438*G438</f>
        <v>1600</v>
      </c>
    </row>
    <row r="441" spans="1:12" ht="30" x14ac:dyDescent="0.25">
      <c r="B441" s="33" t="s">
        <v>77</v>
      </c>
      <c r="C441" t="s">
        <v>180</v>
      </c>
      <c r="D441" s="1" t="str">
        <f>'Mano de Obra'!A24</f>
        <v>Instalacion de tinaco de 1 a 2 nivles incluye mano de obra y herramienta para su correcta colocacion</v>
      </c>
      <c r="E441" t="str">
        <f>E438</f>
        <v>Pza</v>
      </c>
      <c r="F441">
        <f>F438</f>
        <v>1</v>
      </c>
      <c r="G441" s="42">
        <f>'Mano de Obra'!C24</f>
        <v>200</v>
      </c>
      <c r="H441" s="42">
        <f>F441*G441</f>
        <v>200</v>
      </c>
    </row>
    <row r="442" spans="1:12" x14ac:dyDescent="0.25">
      <c r="B442" s="28"/>
      <c r="D442" s="1"/>
      <c r="G442" s="42"/>
      <c r="H442" s="42"/>
    </row>
    <row r="443" spans="1:12" x14ac:dyDescent="0.25">
      <c r="A443" s="158" t="s">
        <v>234</v>
      </c>
      <c r="B443" s="158"/>
      <c r="C443" s="158"/>
      <c r="D443" s="158"/>
      <c r="E443" s="48">
        <f>H435+H425+H415+H405+H394+H383+H373</f>
        <v>26833</v>
      </c>
    </row>
    <row r="445" spans="1:12" x14ac:dyDescent="0.25">
      <c r="A445" s="139" t="s">
        <v>111</v>
      </c>
      <c r="B445" s="139"/>
      <c r="C445" s="139"/>
      <c r="D445" s="139"/>
      <c r="E445" s="139"/>
      <c r="F445" s="139"/>
      <c r="G445" s="139"/>
      <c r="H445" s="139"/>
      <c r="I445" s="139"/>
      <c r="J445" s="139"/>
      <c r="K445" s="139"/>
      <c r="L445" s="139"/>
    </row>
    <row r="446" spans="1:12" x14ac:dyDescent="0.25">
      <c r="A446" s="2"/>
      <c r="B446" s="150" t="str">
        <f>'Generador de obra'!B236</f>
        <v>Suministro y aplicación de impermeabilizante en azotea. Incluye: suminsitro de materiales tales como: , preparación de la superficie, aplicación de material impermiabilizante, retiro de desperdicios, limpieza, herramienta, equipo y todo lo necesario para su correcta ejecución.</v>
      </c>
      <c r="C446" s="150"/>
      <c r="D446" s="150"/>
      <c r="G446" t="s">
        <v>11</v>
      </c>
      <c r="H446" t="str">
        <f>E452</f>
        <v>M²</v>
      </c>
    </row>
    <row r="447" spans="1:12" x14ac:dyDescent="0.25">
      <c r="A447" s="2"/>
      <c r="B447" s="150"/>
      <c r="C447" s="150"/>
      <c r="D447" s="150"/>
      <c r="G447" t="s">
        <v>75</v>
      </c>
      <c r="H447">
        <f>'Generador de obra'!J236</f>
        <v>32.369999999999997</v>
      </c>
    </row>
    <row r="448" spans="1:12" x14ac:dyDescent="0.25">
      <c r="A448" s="2"/>
      <c r="B448" s="150"/>
      <c r="C448" s="150"/>
      <c r="D448" s="150"/>
      <c r="G448" t="s">
        <v>76</v>
      </c>
      <c r="H448" s="39">
        <f>G452+G455</f>
        <v>108.1</v>
      </c>
    </row>
    <row r="449" spans="1:12" x14ac:dyDescent="0.25">
      <c r="A449" s="2"/>
      <c r="B449" s="150"/>
      <c r="C449" s="150"/>
      <c r="D449" s="150"/>
      <c r="G449" t="s">
        <v>12</v>
      </c>
      <c r="H449" s="42">
        <f>H447*H448</f>
        <v>3499.1969999999997</v>
      </c>
    </row>
    <row r="450" spans="1:12" x14ac:dyDescent="0.25">
      <c r="B450" s="28" t="s">
        <v>2</v>
      </c>
      <c r="D450" s="28" t="s">
        <v>79</v>
      </c>
      <c r="E450" s="28" t="s">
        <v>11</v>
      </c>
      <c r="F450" s="28" t="s">
        <v>75</v>
      </c>
      <c r="G450" s="28" t="s">
        <v>76</v>
      </c>
      <c r="H450" s="28" t="s">
        <v>12</v>
      </c>
    </row>
    <row r="451" spans="1:12" x14ac:dyDescent="0.25">
      <c r="B451" s="33" t="s">
        <v>78</v>
      </c>
    </row>
    <row r="452" spans="1:12" x14ac:dyDescent="0.25">
      <c r="D452" t="str">
        <f>Materiales!A30</f>
        <v>IMPERMEABILIZANTE FESTER ACRITON 6AÑOS</v>
      </c>
      <c r="E452" t="str">
        <f>'Generador de obra'!K236</f>
        <v>M²</v>
      </c>
      <c r="F452">
        <f>'Generador de obra'!J236</f>
        <v>32.369999999999997</v>
      </c>
      <c r="G452" s="42">
        <f>Materiales!C30*3/60</f>
        <v>73.099999999999994</v>
      </c>
      <c r="H452" s="10">
        <f>G452*F452</f>
        <v>2366.2469999999998</v>
      </c>
    </row>
    <row r="455" spans="1:12" ht="30" x14ac:dyDescent="0.25">
      <c r="B455" s="33" t="s">
        <v>77</v>
      </c>
      <c r="C455" t="s">
        <v>89</v>
      </c>
      <c r="D455" s="59" t="str">
        <f>'Mano de Obra'!A17</f>
        <v>Impermeabilizado de azotea incluye mano de obra y herramienta para su ejecucion</v>
      </c>
      <c r="E455" t="str">
        <f>'Generador de obra'!K236</f>
        <v>M²</v>
      </c>
      <c r="F455">
        <f>'Generador de obra'!J236</f>
        <v>32.369999999999997</v>
      </c>
      <c r="G455" s="42">
        <f>'Mano de Obra'!C17</f>
        <v>35</v>
      </c>
      <c r="H455" s="42">
        <f>G455*F455</f>
        <v>1132.9499999999998</v>
      </c>
    </row>
    <row r="458" spans="1:12" x14ac:dyDescent="0.25">
      <c r="A458" s="158" t="s">
        <v>233</v>
      </c>
      <c r="B458" s="158"/>
      <c r="C458" s="158"/>
      <c r="D458" s="158"/>
      <c r="E458" s="48">
        <f>H449</f>
        <v>3499.1969999999997</v>
      </c>
    </row>
    <row r="460" spans="1:12" x14ac:dyDescent="0.25">
      <c r="A460" s="143" t="s">
        <v>112</v>
      </c>
      <c r="B460" s="143"/>
      <c r="C460" s="143"/>
      <c r="D460" s="143"/>
      <c r="E460" s="143"/>
      <c r="F460" s="143"/>
      <c r="G460" s="143"/>
      <c r="H460" s="143"/>
      <c r="I460" s="139"/>
      <c r="J460" s="139"/>
      <c r="K460" s="139"/>
      <c r="L460" s="139"/>
    </row>
    <row r="461" spans="1:12" x14ac:dyDescent="0.25">
      <c r="A461" s="24"/>
      <c r="B461" s="150" t="str">
        <f>'Generador de obra'!B243</f>
        <v>Suministro, colocación de salida hidraulica para regadera y pruebas de tubo de cobre de 13 mm (1/2") de diámetro. Incluye: suministro de material, lija, soldadura, agua para pruebas, mano de obra para acarreo libre horizontal y vertical, cortes, dobleces, presentación, unión de tubos y piezas, soldado, pruebas, equipo, herramienta, y todo lo necesario para su correcta ejecución.</v>
      </c>
      <c r="C461" s="150"/>
      <c r="D461" s="150"/>
      <c r="G461" t="s">
        <v>11</v>
      </c>
      <c r="H461" t="str">
        <f>'Generador de obra'!K243</f>
        <v>Salida</v>
      </c>
    </row>
    <row r="462" spans="1:12" x14ac:dyDescent="0.25">
      <c r="A462" s="2"/>
      <c r="B462" s="150"/>
      <c r="C462" s="150"/>
      <c r="D462" s="150"/>
      <c r="G462" t="s">
        <v>75</v>
      </c>
      <c r="H462">
        <f>'Generador de obra'!J243</f>
        <v>1</v>
      </c>
    </row>
    <row r="463" spans="1:12" x14ac:dyDescent="0.25">
      <c r="A463" s="2"/>
      <c r="B463" s="150"/>
      <c r="C463" s="150"/>
      <c r="D463" s="150"/>
      <c r="G463" t="s">
        <v>76</v>
      </c>
      <c r="H463" s="39">
        <f>H472+G475</f>
        <v>634.6</v>
      </c>
    </row>
    <row r="464" spans="1:12" x14ac:dyDescent="0.25">
      <c r="A464" s="2"/>
      <c r="B464" s="150"/>
      <c r="C464" s="150"/>
      <c r="D464" s="150"/>
      <c r="G464" t="s">
        <v>12</v>
      </c>
      <c r="H464" s="42">
        <f>H462*H463</f>
        <v>634.6</v>
      </c>
    </row>
    <row r="465" spans="1:8" x14ac:dyDescent="0.25">
      <c r="B465" s="28" t="s">
        <v>2</v>
      </c>
      <c r="D465" s="28" t="s">
        <v>79</v>
      </c>
      <c r="E465" s="28" t="s">
        <v>11</v>
      </c>
      <c r="F465" s="28" t="s">
        <v>75</v>
      </c>
      <c r="G465" s="28" t="s">
        <v>76</v>
      </c>
      <c r="H465" s="28" t="s">
        <v>12</v>
      </c>
    </row>
    <row r="466" spans="1:8" x14ac:dyDescent="0.25">
      <c r="B466" s="33" t="s">
        <v>78</v>
      </c>
    </row>
    <row r="467" spans="1:8" x14ac:dyDescent="0.25">
      <c r="D467" t="s">
        <v>299</v>
      </c>
      <c r="E467" t="s">
        <v>21</v>
      </c>
      <c r="F467">
        <v>2.7</v>
      </c>
      <c r="G467" s="35">
        <f>Materiales!C97/6</f>
        <v>58</v>
      </c>
      <c r="H467" s="39">
        <f>F467*G467</f>
        <v>156.60000000000002</v>
      </c>
    </row>
    <row r="468" spans="1:8" x14ac:dyDescent="0.25">
      <c r="D468" t="str">
        <f>Materiales!A110</f>
        <v>LIJA</v>
      </c>
      <c r="E468" t="s">
        <v>21</v>
      </c>
      <c r="F468">
        <v>1</v>
      </c>
      <c r="G468" s="35">
        <f>Materiales!C110</f>
        <v>10</v>
      </c>
      <c r="H468" s="39">
        <f>F468*G468</f>
        <v>10</v>
      </c>
    </row>
    <row r="469" spans="1:8" x14ac:dyDescent="0.25">
      <c r="D469" t="str">
        <f>Materiales!A109</f>
        <v>PASTA PARA SOLDAR 16 G</v>
      </c>
      <c r="E469" t="s">
        <v>304</v>
      </c>
      <c r="F469">
        <v>1</v>
      </c>
      <c r="G469" s="35">
        <f>Materiales!C109</f>
        <v>17</v>
      </c>
      <c r="H469" s="39">
        <f>F469*G469</f>
        <v>17</v>
      </c>
    </row>
    <row r="470" spans="1:8" x14ac:dyDescent="0.25">
      <c r="D470" t="str">
        <f>Materiales!A107</f>
        <v>SOLDADURA PARA AGUA</v>
      </c>
      <c r="E470" t="str">
        <f>Materiales!B107</f>
        <v>ML</v>
      </c>
      <c r="F470">
        <v>1</v>
      </c>
      <c r="G470" s="35">
        <f>Materiales!C107</f>
        <v>27</v>
      </c>
      <c r="H470" s="39">
        <f>F470*G470</f>
        <v>27</v>
      </c>
    </row>
    <row r="471" spans="1:8" x14ac:dyDescent="0.25">
      <c r="D471" t="s">
        <v>327</v>
      </c>
      <c r="E471" t="s">
        <v>34</v>
      </c>
      <c r="F471">
        <v>4</v>
      </c>
      <c r="G471" s="35">
        <f>Materiales!C99</f>
        <v>6</v>
      </c>
      <c r="H471" s="39">
        <f>F471*G471</f>
        <v>24</v>
      </c>
    </row>
    <row r="472" spans="1:8" x14ac:dyDescent="0.25">
      <c r="G472" t="s">
        <v>9</v>
      </c>
      <c r="H472" s="42">
        <f>H467+H468+H469+H470+H471</f>
        <v>234.60000000000002</v>
      </c>
    </row>
    <row r="475" spans="1:8" ht="30" x14ac:dyDescent="0.25">
      <c r="B475" s="33" t="s">
        <v>77</v>
      </c>
      <c r="C475" t="s">
        <v>89</v>
      </c>
      <c r="D475" s="1" t="str">
        <f>'Mano de Obra'!A20</f>
        <v>Insatalacion hidrosanitaria por salida incluye mano de obra y herramienta para su correcta colocacion</v>
      </c>
      <c r="E475" t="s">
        <v>191</v>
      </c>
      <c r="F475">
        <v>1</v>
      </c>
      <c r="G475" s="42">
        <f>'Mano de Obra'!C20</f>
        <v>400</v>
      </c>
      <c r="H475" s="42">
        <f>F475*G475</f>
        <v>400</v>
      </c>
    </row>
    <row r="477" spans="1:8" x14ac:dyDescent="0.25">
      <c r="A477" s="24"/>
      <c r="B477" s="150" t="str">
        <f>'Generador de obra'!B244</f>
        <v>Suministro, colocación de salida hidraulica para lavabo y pruebas de tubo de cobre de 13 mm (1/2") de diámetro. Incluye: suministro de material, lija, soldadura, agua para pruebas, mano de obra para acarreo libre horizontal y vertical, cortes, dobleces, presentación, unión de tubos y piezas, soldado, pruebas, equipo, herramienta, y todo lo necesario para su correcta ejecución.</v>
      </c>
      <c r="C477" s="150"/>
      <c r="D477" s="150"/>
      <c r="G477" t="s">
        <v>11</v>
      </c>
      <c r="H477" t="str">
        <f>'Generador de obra'!K244</f>
        <v>Salida</v>
      </c>
    </row>
    <row r="478" spans="1:8" x14ac:dyDescent="0.25">
      <c r="A478" s="24"/>
      <c r="B478" s="150"/>
      <c r="C478" s="150"/>
      <c r="D478" s="150"/>
      <c r="G478" t="s">
        <v>75</v>
      </c>
      <c r="H478">
        <f>'Generador de obra'!J244</f>
        <v>2</v>
      </c>
    </row>
    <row r="479" spans="1:8" x14ac:dyDescent="0.25">
      <c r="A479" s="24"/>
      <c r="B479" s="150"/>
      <c r="C479" s="150"/>
      <c r="D479" s="150"/>
      <c r="G479" t="s">
        <v>76</v>
      </c>
      <c r="H479" s="39">
        <f>H490+G492</f>
        <v>643.6</v>
      </c>
    </row>
    <row r="480" spans="1:8" x14ac:dyDescent="0.25">
      <c r="A480" s="24"/>
      <c r="B480" s="150"/>
      <c r="C480" s="150"/>
      <c r="D480" s="150"/>
      <c r="G480" t="s">
        <v>12</v>
      </c>
      <c r="H480" s="42">
        <f>H478*H479</f>
        <v>1287.2</v>
      </c>
    </row>
    <row r="481" spans="1:8" x14ac:dyDescent="0.25">
      <c r="A481" s="5"/>
      <c r="B481" s="28" t="s">
        <v>2</v>
      </c>
      <c r="D481" s="28" t="s">
        <v>79</v>
      </c>
      <c r="E481" s="28" t="s">
        <v>11</v>
      </c>
      <c r="F481" s="28" t="s">
        <v>75</v>
      </c>
      <c r="G481" s="28" t="s">
        <v>76</v>
      </c>
      <c r="H481" s="28" t="s">
        <v>12</v>
      </c>
    </row>
    <row r="482" spans="1:8" x14ac:dyDescent="0.25">
      <c r="A482" s="5"/>
      <c r="B482" s="33" t="s">
        <v>78</v>
      </c>
    </row>
    <row r="483" spans="1:8" x14ac:dyDescent="0.25">
      <c r="A483" s="64"/>
      <c r="B483" s="28"/>
    </row>
    <row r="484" spans="1:8" x14ac:dyDescent="0.25">
      <c r="A484" s="64"/>
      <c r="B484" s="28"/>
      <c r="D484" t="str">
        <f t="shared" ref="D484:E488" si="14">D467</f>
        <v>TUBO DE COBRE 1/2 TIPO M</v>
      </c>
      <c r="E484" t="str">
        <f t="shared" si="14"/>
        <v>ML</v>
      </c>
      <c r="F484">
        <f>5.23</f>
        <v>5.23</v>
      </c>
      <c r="G484" s="35">
        <f t="shared" ref="G484:H488" si="15">G467</f>
        <v>58</v>
      </c>
      <c r="H484" s="35">
        <f t="shared" si="15"/>
        <v>156.60000000000002</v>
      </c>
    </row>
    <row r="485" spans="1:8" x14ac:dyDescent="0.25">
      <c r="A485" s="64"/>
      <c r="B485" s="28"/>
      <c r="D485" t="str">
        <f t="shared" si="14"/>
        <v>LIJA</v>
      </c>
      <c r="E485" t="str">
        <f t="shared" si="14"/>
        <v>ML</v>
      </c>
      <c r="F485">
        <f>F468</f>
        <v>1</v>
      </c>
      <c r="G485" s="35">
        <f t="shared" si="15"/>
        <v>10</v>
      </c>
      <c r="H485" s="35">
        <f t="shared" si="15"/>
        <v>10</v>
      </c>
    </row>
    <row r="486" spans="1:8" x14ac:dyDescent="0.25">
      <c r="A486" s="64"/>
      <c r="B486" s="28"/>
      <c r="D486" t="str">
        <f t="shared" si="14"/>
        <v>PASTA PARA SOLDAR 16 G</v>
      </c>
      <c r="E486" t="str">
        <f t="shared" si="14"/>
        <v>G</v>
      </c>
      <c r="F486">
        <f>F469</f>
        <v>1</v>
      </c>
      <c r="G486" s="35">
        <f t="shared" si="15"/>
        <v>17</v>
      </c>
      <c r="H486" s="35">
        <f t="shared" si="15"/>
        <v>17</v>
      </c>
    </row>
    <row r="487" spans="1:8" x14ac:dyDescent="0.25">
      <c r="A487" s="5"/>
      <c r="D487" t="str">
        <f t="shared" si="14"/>
        <v>SOLDADURA PARA AGUA</v>
      </c>
      <c r="E487" t="str">
        <f t="shared" si="14"/>
        <v>ML</v>
      </c>
      <c r="F487">
        <f>F470</f>
        <v>1</v>
      </c>
      <c r="G487" s="35">
        <f t="shared" si="15"/>
        <v>27</v>
      </c>
      <c r="H487" s="35">
        <f t="shared" si="15"/>
        <v>27</v>
      </c>
    </row>
    <row r="488" spans="1:8" x14ac:dyDescent="0.25">
      <c r="A488" s="5"/>
      <c r="D488" t="str">
        <f t="shared" si="14"/>
        <v>CODO DE COBRE 1/2''X90</v>
      </c>
      <c r="E488" t="str">
        <f t="shared" si="14"/>
        <v>Pza</v>
      </c>
      <c r="F488">
        <f>F471</f>
        <v>4</v>
      </c>
      <c r="G488" s="35">
        <f t="shared" si="15"/>
        <v>6</v>
      </c>
      <c r="H488" s="35">
        <f t="shared" si="15"/>
        <v>24</v>
      </c>
    </row>
    <row r="489" spans="1:8" x14ac:dyDescent="0.25">
      <c r="A489" s="5"/>
      <c r="D489" t="s">
        <v>328</v>
      </c>
      <c r="E489" t="s">
        <v>34</v>
      </c>
      <c r="F489">
        <v>1</v>
      </c>
      <c r="G489" s="19">
        <f>Materiales!C101</f>
        <v>9</v>
      </c>
      <c r="H489" s="19">
        <f>F489*G489</f>
        <v>9</v>
      </c>
    </row>
    <row r="490" spans="1:8" x14ac:dyDescent="0.25">
      <c r="A490" s="64"/>
      <c r="G490" t="s">
        <v>9</v>
      </c>
      <c r="H490" s="42">
        <f>H484+H485+H486+H487+H488+H489</f>
        <v>243.60000000000002</v>
      </c>
    </row>
    <row r="491" spans="1:8" x14ac:dyDescent="0.25">
      <c r="A491" s="5"/>
    </row>
    <row r="492" spans="1:8" ht="30" x14ac:dyDescent="0.25">
      <c r="A492" s="5"/>
      <c r="B492" s="33" t="s">
        <v>77</v>
      </c>
      <c r="C492" t="s">
        <v>89</v>
      </c>
      <c r="D492" s="1" t="str">
        <f>D475</f>
        <v>Insatalacion hidrosanitaria por salida incluye mano de obra y herramienta para su correcta colocacion</v>
      </c>
      <c r="E492" t="str">
        <f>E475</f>
        <v>Salida</v>
      </c>
      <c r="F492">
        <v>1</v>
      </c>
      <c r="G492" s="15">
        <f>G475</f>
        <v>400</v>
      </c>
      <c r="H492" s="15">
        <f>H475</f>
        <v>400</v>
      </c>
    </row>
    <row r="493" spans="1:8" x14ac:dyDescent="0.25">
      <c r="A493" s="5"/>
    </row>
    <row r="494" spans="1:8" x14ac:dyDescent="0.25">
      <c r="A494" s="24"/>
      <c r="B494" s="150" t="str">
        <f>'Generador de obra'!B245</f>
        <v>Suministro, colocación de salida hidraulica para fregadero y pruebas de tubo de cobre de 13 mm (1/2") de diámetro. Incluye: suministro de material, lija, soldadura, agua para pruebas, mano de obra para acarreo libre horizontal y vertical, cortes, dobleces, presentación, unión de tubos y piezas, soldado, pruebas, equipo, herramienta, y todo lo necesario para su correcta ejecución.</v>
      </c>
      <c r="C494" s="150"/>
      <c r="D494" s="150"/>
      <c r="G494" t="s">
        <v>11</v>
      </c>
      <c r="H494" t="str">
        <f>'Generador de obra'!K245</f>
        <v>Salida</v>
      </c>
    </row>
    <row r="495" spans="1:8" x14ac:dyDescent="0.25">
      <c r="A495" s="24"/>
      <c r="B495" s="150"/>
      <c r="C495" s="150"/>
      <c r="D495" s="150"/>
      <c r="G495" t="s">
        <v>75</v>
      </c>
      <c r="H495">
        <f>'Generador de obra'!J245</f>
        <v>1</v>
      </c>
    </row>
    <row r="496" spans="1:8" x14ac:dyDescent="0.25">
      <c r="A496" s="24"/>
      <c r="B496" s="150"/>
      <c r="C496" s="150"/>
      <c r="D496" s="150"/>
      <c r="G496" t="s">
        <v>76</v>
      </c>
      <c r="H496" s="39">
        <f>H505+G508</f>
        <v>773.4</v>
      </c>
    </row>
    <row r="497" spans="1:8" x14ac:dyDescent="0.25">
      <c r="A497" s="24"/>
      <c r="B497" s="150"/>
      <c r="C497" s="150"/>
      <c r="D497" s="150"/>
      <c r="G497" t="s">
        <v>12</v>
      </c>
      <c r="H497" s="42">
        <f>H495*H496</f>
        <v>773.4</v>
      </c>
    </row>
    <row r="498" spans="1:8" x14ac:dyDescent="0.25">
      <c r="A498" s="5"/>
      <c r="B498" s="28" t="s">
        <v>2</v>
      </c>
      <c r="D498" s="28" t="s">
        <v>79</v>
      </c>
      <c r="E498" s="28" t="s">
        <v>11</v>
      </c>
      <c r="F498" s="28" t="s">
        <v>75</v>
      </c>
      <c r="G498" s="28" t="s">
        <v>76</v>
      </c>
      <c r="H498" s="28" t="s">
        <v>12</v>
      </c>
    </row>
    <row r="499" spans="1:8" x14ac:dyDescent="0.25">
      <c r="A499" s="5"/>
      <c r="B499" s="33" t="s">
        <v>78</v>
      </c>
    </row>
    <row r="500" spans="1:8" x14ac:dyDescent="0.25">
      <c r="A500" s="64"/>
      <c r="B500" s="28"/>
      <c r="D500" t="str">
        <f t="shared" ref="D500:E504" si="16">D484</f>
        <v>TUBO DE COBRE 1/2 TIPO M</v>
      </c>
      <c r="E500" t="str">
        <f t="shared" si="16"/>
        <v>ML</v>
      </c>
      <c r="F500">
        <v>5.3</v>
      </c>
      <c r="G500" s="35">
        <f>G484</f>
        <v>58</v>
      </c>
      <c r="H500" s="35">
        <f>F500*G500</f>
        <v>307.39999999999998</v>
      </c>
    </row>
    <row r="501" spans="1:8" x14ac:dyDescent="0.25">
      <c r="A501" s="64"/>
      <c r="B501" s="28"/>
      <c r="D501" t="str">
        <f t="shared" si="16"/>
        <v>LIJA</v>
      </c>
      <c r="E501" t="str">
        <f t="shared" si="16"/>
        <v>ML</v>
      </c>
      <c r="F501">
        <f>F485</f>
        <v>1</v>
      </c>
      <c r="G501" s="35">
        <f>G485</f>
        <v>10</v>
      </c>
      <c r="H501" s="35">
        <f>H485</f>
        <v>10</v>
      </c>
    </row>
    <row r="502" spans="1:8" x14ac:dyDescent="0.25">
      <c r="A502" s="5"/>
      <c r="D502" t="str">
        <f t="shared" si="16"/>
        <v>PASTA PARA SOLDAR 16 G</v>
      </c>
      <c r="E502" t="str">
        <f t="shared" si="16"/>
        <v>G</v>
      </c>
      <c r="F502">
        <f>F486</f>
        <v>1</v>
      </c>
      <c r="G502" s="35">
        <f>G486</f>
        <v>17</v>
      </c>
      <c r="H502" s="35">
        <f>H486</f>
        <v>17</v>
      </c>
    </row>
    <row r="503" spans="1:8" x14ac:dyDescent="0.25">
      <c r="A503" s="64"/>
      <c r="D503" t="str">
        <f t="shared" si="16"/>
        <v>SOLDADURA PARA AGUA</v>
      </c>
      <c r="E503" t="str">
        <f t="shared" si="16"/>
        <v>ML</v>
      </c>
      <c r="F503">
        <f>F487</f>
        <v>1</v>
      </c>
      <c r="G503" s="35">
        <f>G487</f>
        <v>27</v>
      </c>
      <c r="H503" s="35">
        <f>H487</f>
        <v>27</v>
      </c>
    </row>
    <row r="504" spans="1:8" x14ac:dyDescent="0.25">
      <c r="A504" s="5"/>
      <c r="D504" t="str">
        <f t="shared" si="16"/>
        <v>CODO DE COBRE 1/2''X90</v>
      </c>
      <c r="E504" t="str">
        <f t="shared" si="16"/>
        <v>Pza</v>
      </c>
      <c r="F504">
        <v>2</v>
      </c>
      <c r="G504" s="35">
        <f>G488</f>
        <v>6</v>
      </c>
      <c r="H504" s="35">
        <f>F504*G504</f>
        <v>12</v>
      </c>
    </row>
    <row r="505" spans="1:8" x14ac:dyDescent="0.25">
      <c r="A505" s="64"/>
      <c r="G505" t="s">
        <v>9</v>
      </c>
      <c r="H505" s="42">
        <f>H500+H501+H502+H503+H504</f>
        <v>373.4</v>
      </c>
    </row>
    <row r="506" spans="1:8" x14ac:dyDescent="0.25">
      <c r="A506" s="64"/>
      <c r="H506" s="39"/>
    </row>
    <row r="507" spans="1:8" x14ac:dyDescent="0.25">
      <c r="A507" s="5"/>
    </row>
    <row r="508" spans="1:8" ht="30" x14ac:dyDescent="0.25">
      <c r="A508" s="5"/>
      <c r="B508" s="33" t="s">
        <v>77</v>
      </c>
      <c r="C508" t="s">
        <v>89</v>
      </c>
      <c r="D508" s="1" t="str">
        <f>D492</f>
        <v>Insatalacion hidrosanitaria por salida incluye mano de obra y herramienta para su correcta colocacion</v>
      </c>
      <c r="E508" t="str">
        <f>E492</f>
        <v>Salida</v>
      </c>
      <c r="F508">
        <f>F492</f>
        <v>1</v>
      </c>
      <c r="G508" s="15">
        <f>G492</f>
        <v>400</v>
      </c>
      <c r="H508" s="15">
        <f>H492</f>
        <v>400</v>
      </c>
    </row>
    <row r="509" spans="1:8" x14ac:dyDescent="0.25">
      <c r="A509" s="5"/>
    </row>
    <row r="510" spans="1:8" x14ac:dyDescent="0.25">
      <c r="A510" s="5"/>
    </row>
    <row r="511" spans="1:8" x14ac:dyDescent="0.25">
      <c r="A511" s="24"/>
      <c r="B511" s="150" t="str">
        <f>'Generador de obra'!B246</f>
        <v>Suministro, colocación de salida hidraulica para salida de  lavadora y pruebas de tubo de cobre de 13 mm (1/2") de diámetro. Incluye: suministro de material, lija, soldadura, agua para pruebas, mano de obra para acarreo libre horizontal y vertical, cortes, dobleces, presentación, unión de tubos y piezas, soldado, pruebas, equipo, herramienta, y todo lo necesario para su correcta ejecución.</v>
      </c>
      <c r="C511" s="150"/>
      <c r="D511" s="150"/>
      <c r="G511" t="s">
        <v>11</v>
      </c>
      <c r="H511" t="str">
        <f>'Generador de obra'!K246</f>
        <v>Salida</v>
      </c>
    </row>
    <row r="512" spans="1:8" x14ac:dyDescent="0.25">
      <c r="A512" s="2"/>
      <c r="B512" s="150"/>
      <c r="C512" s="150"/>
      <c r="D512" s="150"/>
      <c r="G512" t="s">
        <v>75</v>
      </c>
      <c r="H512">
        <f>'Generador de obra'!J246</f>
        <v>1</v>
      </c>
    </row>
    <row r="513" spans="1:8" x14ac:dyDescent="0.25">
      <c r="A513" s="2"/>
      <c r="B513" s="150"/>
      <c r="C513" s="150"/>
      <c r="D513" s="150"/>
      <c r="G513" t="s">
        <v>76</v>
      </c>
      <c r="H513" s="39">
        <f>H522+G524</f>
        <v>1098.4000000000001</v>
      </c>
    </row>
    <row r="514" spans="1:8" x14ac:dyDescent="0.25">
      <c r="A514" s="2"/>
      <c r="B514" s="150"/>
      <c r="C514" s="150"/>
      <c r="D514" s="150"/>
      <c r="G514" t="s">
        <v>12</v>
      </c>
      <c r="H514" s="42">
        <f>H512*H513</f>
        <v>1098.4000000000001</v>
      </c>
    </row>
    <row r="515" spans="1:8" x14ac:dyDescent="0.25">
      <c r="B515" s="28" t="s">
        <v>2</v>
      </c>
      <c r="D515" s="28" t="s">
        <v>79</v>
      </c>
      <c r="E515" s="28" t="s">
        <v>11</v>
      </c>
      <c r="F515" s="28" t="s">
        <v>75</v>
      </c>
      <c r="G515" s="28" t="s">
        <v>76</v>
      </c>
      <c r="H515" s="28" t="s">
        <v>12</v>
      </c>
    </row>
    <row r="516" spans="1:8" x14ac:dyDescent="0.25">
      <c r="B516" s="33" t="s">
        <v>78</v>
      </c>
    </row>
    <row r="517" spans="1:8" x14ac:dyDescent="0.25">
      <c r="D517" t="str">
        <f t="shared" ref="D517:E521" si="17">D500</f>
        <v>TUBO DE COBRE 1/2 TIPO M</v>
      </c>
      <c r="E517" t="str">
        <f t="shared" si="17"/>
        <v>ML</v>
      </c>
      <c r="F517">
        <v>10.8</v>
      </c>
      <c r="G517" s="35">
        <f t="shared" ref="G517:G522" si="18">G500</f>
        <v>58</v>
      </c>
      <c r="H517" s="35">
        <f>F517*G517</f>
        <v>626.40000000000009</v>
      </c>
    </row>
    <row r="518" spans="1:8" x14ac:dyDescent="0.25">
      <c r="D518" t="str">
        <f t="shared" si="17"/>
        <v>LIJA</v>
      </c>
      <c r="E518" t="str">
        <f t="shared" si="17"/>
        <v>ML</v>
      </c>
      <c r="F518">
        <f>F501</f>
        <v>1</v>
      </c>
      <c r="G518" s="35">
        <f t="shared" si="18"/>
        <v>10</v>
      </c>
      <c r="H518" s="35">
        <f>H501</f>
        <v>10</v>
      </c>
    </row>
    <row r="519" spans="1:8" x14ac:dyDescent="0.25">
      <c r="D519" t="str">
        <f t="shared" si="17"/>
        <v>PASTA PARA SOLDAR 16 G</v>
      </c>
      <c r="E519" t="str">
        <f t="shared" si="17"/>
        <v>G</v>
      </c>
      <c r="F519">
        <f>F502</f>
        <v>1</v>
      </c>
      <c r="G519" s="35">
        <f t="shared" si="18"/>
        <v>17</v>
      </c>
      <c r="H519" s="35">
        <f>H502</f>
        <v>17</v>
      </c>
    </row>
    <row r="520" spans="1:8" x14ac:dyDescent="0.25">
      <c r="D520" t="str">
        <f t="shared" si="17"/>
        <v>SOLDADURA PARA AGUA</v>
      </c>
      <c r="E520" t="str">
        <f t="shared" si="17"/>
        <v>ML</v>
      </c>
      <c r="F520">
        <f>F503</f>
        <v>1</v>
      </c>
      <c r="G520" s="35">
        <f t="shared" si="18"/>
        <v>27</v>
      </c>
      <c r="H520" s="35">
        <f>H503</f>
        <v>27</v>
      </c>
    </row>
    <row r="521" spans="1:8" x14ac:dyDescent="0.25">
      <c r="D521" t="str">
        <f t="shared" si="17"/>
        <v>CODO DE COBRE 1/2''X90</v>
      </c>
      <c r="E521" t="str">
        <f t="shared" si="17"/>
        <v>Pza</v>
      </c>
      <c r="F521">
        <v>3</v>
      </c>
      <c r="G521" s="35">
        <f t="shared" si="18"/>
        <v>6</v>
      </c>
      <c r="H521" s="35">
        <f>F521*G521</f>
        <v>18</v>
      </c>
    </row>
    <row r="522" spans="1:8" x14ac:dyDescent="0.25">
      <c r="G522" t="str">
        <f t="shared" si="18"/>
        <v>Suma</v>
      </c>
      <c r="H522" s="15">
        <f>H517+H518+H519+H520+H521</f>
        <v>698.40000000000009</v>
      </c>
    </row>
    <row r="524" spans="1:8" ht="30" x14ac:dyDescent="0.25">
      <c r="B524" s="33" t="s">
        <v>77</v>
      </c>
      <c r="C524" t="s">
        <v>89</v>
      </c>
      <c r="D524" s="1" t="str">
        <f>D508</f>
        <v>Insatalacion hidrosanitaria por salida incluye mano de obra y herramienta para su correcta colocacion</v>
      </c>
      <c r="E524" t="str">
        <f>E508</f>
        <v>Salida</v>
      </c>
      <c r="F524">
        <f>F508</f>
        <v>1</v>
      </c>
      <c r="G524" s="15">
        <f>G508</f>
        <v>400</v>
      </c>
      <c r="H524" s="15">
        <f>H508</f>
        <v>400</v>
      </c>
    </row>
    <row r="525" spans="1:8" ht="15.75" customHeight="1" x14ac:dyDescent="0.25"/>
    <row r="526" spans="1:8" x14ac:dyDescent="0.25">
      <c r="A526" s="5"/>
    </row>
    <row r="527" spans="1:8" x14ac:dyDescent="0.25">
      <c r="A527" s="24"/>
      <c r="B527" s="150" t="str">
        <f>'Generador de obra'!B248</f>
        <v>Suministro, colocación de salida hidraulica para W.C y pruebas de tubo de cobre de 13 mm (1/2") de diámetro. Incluye: suministro de material, lija, soldadura, agua para pruebas, mano de obra para acarreo libre horizontal y vertical, cortes, dobleces, presentación, unión de tubos y piezas, soldado, pruebas, equipo, herramienta, y todo lo necesario para su correcta ejecución.</v>
      </c>
      <c r="C527" s="150"/>
      <c r="D527" s="150"/>
      <c r="G527" t="s">
        <v>11</v>
      </c>
      <c r="H527" t="str">
        <f>'Generador de obra'!K248</f>
        <v>Salida</v>
      </c>
    </row>
    <row r="528" spans="1:8" x14ac:dyDescent="0.25">
      <c r="A528" s="2"/>
      <c r="B528" s="150"/>
      <c r="C528" s="150"/>
      <c r="D528" s="150"/>
      <c r="G528" t="s">
        <v>75</v>
      </c>
      <c r="H528">
        <f>'Generador de obra'!J248</f>
        <v>2</v>
      </c>
    </row>
    <row r="529" spans="1:8" x14ac:dyDescent="0.25">
      <c r="A529" s="2"/>
      <c r="B529" s="150"/>
      <c r="C529" s="150"/>
      <c r="D529" s="150"/>
      <c r="G529" t="s">
        <v>76</v>
      </c>
      <c r="H529" s="39">
        <f>H538+G540</f>
        <v>690.66</v>
      </c>
    </row>
    <row r="530" spans="1:8" x14ac:dyDescent="0.25">
      <c r="A530" s="2"/>
      <c r="B530" s="150"/>
      <c r="C530" s="150"/>
      <c r="D530" s="150"/>
      <c r="G530" t="s">
        <v>12</v>
      </c>
      <c r="H530" s="42">
        <f>H528*H529</f>
        <v>1381.32</v>
      </c>
    </row>
    <row r="531" spans="1:8" x14ac:dyDescent="0.25">
      <c r="B531" s="28" t="s">
        <v>2</v>
      </c>
      <c r="D531" s="28" t="s">
        <v>79</v>
      </c>
      <c r="E531" s="28" t="s">
        <v>11</v>
      </c>
      <c r="F531" s="28" t="s">
        <v>75</v>
      </c>
      <c r="G531" s="28" t="s">
        <v>76</v>
      </c>
      <c r="H531" s="28" t="s">
        <v>12</v>
      </c>
    </row>
    <row r="532" spans="1:8" x14ac:dyDescent="0.25">
      <c r="B532" s="33" t="s">
        <v>78</v>
      </c>
    </row>
    <row r="533" spans="1:8" x14ac:dyDescent="0.25">
      <c r="D533" t="str">
        <f>D517</f>
        <v>TUBO DE COBRE 1/2 TIPO M</v>
      </c>
      <c r="E533" t="str">
        <f>E517</f>
        <v>ML</v>
      </c>
      <c r="F533">
        <f>2.2+1.27+0.3</f>
        <v>3.77</v>
      </c>
      <c r="G533" s="35">
        <f t="shared" ref="G533:G538" si="19">G517</f>
        <v>58</v>
      </c>
      <c r="H533" s="35">
        <f>F533*G533</f>
        <v>218.66</v>
      </c>
    </row>
    <row r="534" spans="1:8" x14ac:dyDescent="0.25">
      <c r="D534" t="str">
        <f t="shared" ref="D534:E537" si="20">D518</f>
        <v>LIJA</v>
      </c>
      <c r="E534" t="str">
        <f t="shared" si="20"/>
        <v>ML</v>
      </c>
      <c r="F534">
        <f>F518</f>
        <v>1</v>
      </c>
      <c r="G534" s="35">
        <f t="shared" si="19"/>
        <v>10</v>
      </c>
      <c r="H534" s="35">
        <f>H518</f>
        <v>10</v>
      </c>
    </row>
    <row r="535" spans="1:8" x14ac:dyDescent="0.25">
      <c r="D535" t="str">
        <f t="shared" si="20"/>
        <v>PASTA PARA SOLDAR 16 G</v>
      </c>
      <c r="E535" t="str">
        <f t="shared" si="20"/>
        <v>G</v>
      </c>
      <c r="F535">
        <f>F519</f>
        <v>1</v>
      </c>
      <c r="G535" s="35">
        <f t="shared" si="19"/>
        <v>17</v>
      </c>
      <c r="H535" s="35">
        <f>H519</f>
        <v>17</v>
      </c>
    </row>
    <row r="536" spans="1:8" x14ac:dyDescent="0.25">
      <c r="D536" t="str">
        <f t="shared" si="20"/>
        <v>SOLDADURA PARA AGUA</v>
      </c>
      <c r="E536" t="str">
        <f t="shared" si="20"/>
        <v>ML</v>
      </c>
      <c r="F536">
        <f>F520</f>
        <v>1</v>
      </c>
      <c r="G536" s="35">
        <f t="shared" si="19"/>
        <v>27</v>
      </c>
      <c r="H536" s="35">
        <f>H520</f>
        <v>27</v>
      </c>
    </row>
    <row r="537" spans="1:8" x14ac:dyDescent="0.25">
      <c r="D537" t="str">
        <f t="shared" si="20"/>
        <v>CODO DE COBRE 1/2''X90</v>
      </c>
      <c r="E537" t="str">
        <f t="shared" si="20"/>
        <v>Pza</v>
      </c>
      <c r="F537">
        <v>3</v>
      </c>
      <c r="G537" s="35">
        <f t="shared" si="19"/>
        <v>6</v>
      </c>
      <c r="H537" s="35">
        <f>F537*G537</f>
        <v>18</v>
      </c>
    </row>
    <row r="538" spans="1:8" x14ac:dyDescent="0.25">
      <c r="G538" s="35" t="str">
        <f t="shared" si="19"/>
        <v>Suma</v>
      </c>
      <c r="H538" s="15">
        <f>H537+H536+H535+H534+H533</f>
        <v>290.65999999999997</v>
      </c>
    </row>
    <row r="539" spans="1:8" x14ac:dyDescent="0.25">
      <c r="G539" s="35"/>
    </row>
    <row r="540" spans="1:8" ht="30" x14ac:dyDescent="0.25">
      <c r="B540" s="33" t="s">
        <v>77</v>
      </c>
      <c r="C540" t="s">
        <v>89</v>
      </c>
      <c r="D540" s="1" t="str">
        <f>D524</f>
        <v>Insatalacion hidrosanitaria por salida incluye mano de obra y herramienta para su correcta colocacion</v>
      </c>
      <c r="E540" t="str">
        <f>E524</f>
        <v>Salida</v>
      </c>
      <c r="F540">
        <f>F524</f>
        <v>1</v>
      </c>
      <c r="G540" s="15">
        <f>G524</f>
        <v>400</v>
      </c>
      <c r="H540" s="15">
        <f>H524</f>
        <v>400</v>
      </c>
    </row>
    <row r="543" spans="1:8" x14ac:dyDescent="0.25">
      <c r="A543" s="158" t="s">
        <v>339</v>
      </c>
      <c r="B543" s="158"/>
      <c r="C543" s="158"/>
      <c r="D543" s="158"/>
      <c r="E543" s="48">
        <f>H530+H514+H497+H480+H464</f>
        <v>5174.920000000001</v>
      </c>
    </row>
    <row r="546" spans="1:12" x14ac:dyDescent="0.25">
      <c r="A546" s="163" t="s">
        <v>112</v>
      </c>
      <c r="B546" s="163"/>
      <c r="C546" s="163"/>
      <c r="D546" s="163"/>
      <c r="E546" s="163"/>
      <c r="F546" s="163"/>
      <c r="G546" s="163"/>
      <c r="H546" s="163"/>
      <c r="I546" s="163"/>
      <c r="J546" s="163"/>
      <c r="K546" s="163"/>
      <c r="L546" s="163"/>
    </row>
    <row r="547" spans="1:12" x14ac:dyDescent="0.25">
      <c r="A547" s="2"/>
      <c r="B547" s="150" t="str">
        <f>'Generador de obra'!B251</f>
        <v>Suministro, colocación de salida electrica para apagadores y pruebas, incluye cable iusa del #12, manguera poliflex 1/2 , cinta de aislar, tapas y apagadores . Incluye: suministro de material, pruebas, equipo, herramienta, y todo lo necesario para su correcta ejecución.</v>
      </c>
      <c r="C547" s="150"/>
      <c r="D547" s="150"/>
      <c r="G547" t="s">
        <v>11</v>
      </c>
      <c r="H547" t="s">
        <v>88</v>
      </c>
    </row>
    <row r="548" spans="1:12" x14ac:dyDescent="0.25">
      <c r="A548" s="2"/>
      <c r="B548" s="150"/>
      <c r="C548" s="150"/>
      <c r="D548" s="150"/>
      <c r="G548" t="s">
        <v>75</v>
      </c>
      <c r="H548">
        <v>10</v>
      </c>
    </row>
    <row r="549" spans="1:12" x14ac:dyDescent="0.25">
      <c r="A549" s="2"/>
      <c r="B549" s="150"/>
      <c r="C549" s="150"/>
      <c r="D549" s="150"/>
      <c r="G549" t="s">
        <v>76</v>
      </c>
      <c r="H549" s="19">
        <f>H559/H548</f>
        <v>106.38079999999999</v>
      </c>
    </row>
    <row r="550" spans="1:12" x14ac:dyDescent="0.25">
      <c r="A550" s="2"/>
      <c r="B550" s="150"/>
      <c r="C550" s="150"/>
      <c r="D550" s="150"/>
      <c r="G550" t="s">
        <v>12</v>
      </c>
    </row>
    <row r="551" spans="1:12" x14ac:dyDescent="0.25">
      <c r="B551" s="28" t="s">
        <v>2</v>
      </c>
      <c r="D551" s="28" t="s">
        <v>79</v>
      </c>
      <c r="E551" s="28" t="s">
        <v>11</v>
      </c>
      <c r="F551" s="28" t="s">
        <v>75</v>
      </c>
      <c r="G551" s="28" t="s">
        <v>76</v>
      </c>
      <c r="H551" s="28" t="s">
        <v>12</v>
      </c>
    </row>
    <row r="552" spans="1:12" x14ac:dyDescent="0.25">
      <c r="B552" s="33" t="s">
        <v>78</v>
      </c>
    </row>
    <row r="553" spans="1:12" x14ac:dyDescent="0.25">
      <c r="D553" t="str">
        <f>Materiales!A134</f>
        <v>CABLE IUSA #12</v>
      </c>
      <c r="E553" t="s">
        <v>374</v>
      </c>
      <c r="F553">
        <v>43.2</v>
      </c>
      <c r="G553" s="19">
        <f>Materiales!H134</f>
        <v>6.03</v>
      </c>
      <c r="H553" s="19">
        <f t="shared" ref="H553:H558" si="21">F553*G553</f>
        <v>260.49600000000004</v>
      </c>
    </row>
    <row r="554" spans="1:12" x14ac:dyDescent="0.25">
      <c r="D554" t="str">
        <f>Materiales!A130</f>
        <v>MANGUERA POLIFLEX 1/2</v>
      </c>
      <c r="E554" t="s">
        <v>374</v>
      </c>
      <c r="F554">
        <v>43.2</v>
      </c>
      <c r="G554" s="19">
        <f>Materiales!E130</f>
        <v>4.66</v>
      </c>
      <c r="H554" s="19">
        <f t="shared" si="21"/>
        <v>201.31200000000001</v>
      </c>
    </row>
    <row r="555" spans="1:12" x14ac:dyDescent="0.25">
      <c r="D555" t="str">
        <f>Materiales!A119</f>
        <v>CHALUPA</v>
      </c>
      <c r="E555" t="s">
        <v>88</v>
      </c>
      <c r="F555">
        <v>10</v>
      </c>
      <c r="G555" s="35">
        <f>Materiales!C119</f>
        <v>5</v>
      </c>
      <c r="H555" s="19">
        <f t="shared" si="21"/>
        <v>50</v>
      </c>
    </row>
    <row r="556" spans="1:12" x14ac:dyDescent="0.25">
      <c r="D556" t="str">
        <f>Materiales!A123</f>
        <v>TAPA BTICINO MODUS 1 VENTANA</v>
      </c>
      <c r="E556" t="s">
        <v>88</v>
      </c>
      <c r="F556">
        <v>10</v>
      </c>
      <c r="G556" s="35">
        <f>Materiales!C123</f>
        <v>25</v>
      </c>
      <c r="H556" s="19">
        <f t="shared" si="21"/>
        <v>250</v>
      </c>
    </row>
    <row r="557" spans="1:12" x14ac:dyDescent="0.25">
      <c r="D557" t="str">
        <f>Materiales!A126</f>
        <v>APAGADOR MODUS</v>
      </c>
      <c r="E557" t="s">
        <v>88</v>
      </c>
      <c r="F557">
        <v>10</v>
      </c>
      <c r="G557" s="35">
        <f>Materiales!C126</f>
        <v>29</v>
      </c>
      <c r="H557" s="19">
        <f t="shared" si="21"/>
        <v>290</v>
      </c>
    </row>
    <row r="558" spans="1:12" x14ac:dyDescent="0.25">
      <c r="D558" t="str">
        <f>Materiales!A144</f>
        <v>CINTA DE AISLAR NITTO</v>
      </c>
      <c r="E558" t="s">
        <v>73</v>
      </c>
      <c r="F558">
        <v>1</v>
      </c>
      <c r="G558" s="35">
        <f>Materiales!C144</f>
        <v>12</v>
      </c>
      <c r="H558" s="19">
        <f t="shared" si="21"/>
        <v>12</v>
      </c>
    </row>
    <row r="559" spans="1:12" x14ac:dyDescent="0.25">
      <c r="G559" t="s">
        <v>9</v>
      </c>
      <c r="H559" s="56">
        <f>H553+H554+H555+H556+H557+H558</f>
        <v>1063.808</v>
      </c>
    </row>
    <row r="560" spans="1:12" ht="30" x14ac:dyDescent="0.25">
      <c r="B560" s="33" t="s">
        <v>77</v>
      </c>
      <c r="D560" s="1" t="str">
        <f>'Mano de Obra'!A19</f>
        <v>Insatalacion electrica por salida incluye mano de obra y herramienta para su correcta colocacion</v>
      </c>
      <c r="E560" t="s">
        <v>390</v>
      </c>
      <c r="F560">
        <v>10</v>
      </c>
    </row>
    <row r="562" spans="1:8" x14ac:dyDescent="0.25">
      <c r="A562" s="2"/>
      <c r="B562" s="150" t="str">
        <f>'Generador de obra'!B252</f>
        <v>Suministro, colocación de salida electrica para contactos y pruebas, incluye cable iusa del #12, manguera poliflex 1/2 , cinta de aislar, tapas y contactos . Incluye: suministro de material, pruebas, equipo, herramienta, y todo lo necesario para su correcta ejecución.</v>
      </c>
      <c r="C562" s="150"/>
      <c r="D562" s="150"/>
      <c r="G562" t="s">
        <v>11</v>
      </c>
    </row>
    <row r="563" spans="1:8" x14ac:dyDescent="0.25">
      <c r="A563" s="2"/>
      <c r="B563" s="150"/>
      <c r="C563" s="150"/>
      <c r="D563" s="150"/>
      <c r="G563" t="s">
        <v>75</v>
      </c>
    </row>
    <row r="564" spans="1:8" x14ac:dyDescent="0.25">
      <c r="A564" s="2"/>
      <c r="B564" s="150"/>
      <c r="C564" s="150"/>
      <c r="D564" s="150"/>
      <c r="G564" t="s">
        <v>76</v>
      </c>
    </row>
    <row r="565" spans="1:8" x14ac:dyDescent="0.25">
      <c r="A565" s="2"/>
      <c r="B565" s="150"/>
      <c r="C565" s="150"/>
      <c r="D565" s="150"/>
      <c r="G565" t="s">
        <v>12</v>
      </c>
    </row>
    <row r="566" spans="1:8" x14ac:dyDescent="0.25">
      <c r="B566" s="28" t="s">
        <v>2</v>
      </c>
      <c r="D566" s="28" t="s">
        <v>79</v>
      </c>
      <c r="E566" s="28" t="s">
        <v>11</v>
      </c>
      <c r="F566" s="28" t="s">
        <v>75</v>
      </c>
      <c r="G566" s="28" t="s">
        <v>76</v>
      </c>
      <c r="H566" s="28" t="s">
        <v>12</v>
      </c>
    </row>
    <row r="567" spans="1:8" x14ac:dyDescent="0.25">
      <c r="B567" s="33" t="s">
        <v>78</v>
      </c>
    </row>
    <row r="568" spans="1:8" x14ac:dyDescent="0.25">
      <c r="D568" t="str">
        <f>D553</f>
        <v>CABLE IUSA #12</v>
      </c>
      <c r="E568" t="str">
        <f>E553</f>
        <v>M</v>
      </c>
    </row>
    <row r="569" spans="1:8" x14ac:dyDescent="0.25">
      <c r="D569" t="str">
        <f t="shared" ref="D569:E573" si="22">D554</f>
        <v>MANGUERA POLIFLEX 1/2</v>
      </c>
      <c r="E569" t="str">
        <f t="shared" si="22"/>
        <v>M</v>
      </c>
    </row>
    <row r="570" spans="1:8" x14ac:dyDescent="0.25">
      <c r="D570" t="str">
        <f t="shared" si="22"/>
        <v>CHALUPA</v>
      </c>
      <c r="E570" t="str">
        <f t="shared" si="22"/>
        <v>PZA</v>
      </c>
      <c r="F570">
        <v>8</v>
      </c>
      <c r="G570" s="39">
        <f>G555</f>
        <v>5</v>
      </c>
    </row>
    <row r="571" spans="1:8" x14ac:dyDescent="0.25">
      <c r="D571" t="str">
        <f>Materiales!A124</f>
        <v>TAPA BTICINO MODUS 2 VENTANAS</v>
      </c>
      <c r="E571" t="str">
        <f t="shared" si="22"/>
        <v>PZA</v>
      </c>
      <c r="F571">
        <v>8</v>
      </c>
      <c r="G571" s="39">
        <f>G556</f>
        <v>25</v>
      </c>
    </row>
    <row r="572" spans="1:8" x14ac:dyDescent="0.25">
      <c r="D572" t="str">
        <f>Materiales!A128</f>
        <v>CONTACTO MODUS</v>
      </c>
      <c r="E572" t="str">
        <f t="shared" si="22"/>
        <v>PZA</v>
      </c>
      <c r="F572">
        <v>16</v>
      </c>
      <c r="G572" s="19">
        <f>Materiales!C128</f>
        <v>25</v>
      </c>
    </row>
    <row r="573" spans="1:8" x14ac:dyDescent="0.25">
      <c r="D573" t="str">
        <f t="shared" si="22"/>
        <v>CINTA DE AISLAR NITTO</v>
      </c>
      <c r="E573" t="str">
        <f t="shared" si="22"/>
        <v>ROLLO</v>
      </c>
      <c r="F573">
        <v>1</v>
      </c>
      <c r="G573" s="39">
        <f>G558</f>
        <v>12</v>
      </c>
    </row>
    <row r="574" spans="1:8" x14ac:dyDescent="0.25">
      <c r="G574" t="s">
        <v>9</v>
      </c>
      <c r="H574">
        <f>H570+H569+H568+H567+H571+H572+H573</f>
        <v>0</v>
      </c>
    </row>
    <row r="583" spans="1:12" x14ac:dyDescent="0.25">
      <c r="A583" s="139" t="s">
        <v>114</v>
      </c>
      <c r="B583" s="139"/>
      <c r="C583" s="139"/>
      <c r="D583" s="139"/>
      <c r="E583" s="139"/>
      <c r="F583" s="139"/>
      <c r="G583" s="139"/>
      <c r="H583" s="139"/>
      <c r="I583" s="139"/>
      <c r="J583" s="139"/>
      <c r="K583" s="139"/>
      <c r="L583" s="139"/>
    </row>
    <row r="584" spans="1:12" x14ac:dyDescent="0.25">
      <c r="A584" s="24"/>
      <c r="B584" s="150" t="str">
        <f>'Generador de obra'!B257</f>
        <v>Instalacion de Puerta del  madera para el baño de .75x2.05 marca Puertas Infinity modelo Madrid Cerezo Instalacion de manija golden niquel satin marca defian incluye marco, chambranas mano de obra, material,herramienta y todo para su correcta instalacion.</v>
      </c>
      <c r="C584" s="150"/>
      <c r="D584" s="150"/>
      <c r="G584" t="s">
        <v>11</v>
      </c>
      <c r="H584" t="str">
        <f>'Generador de obra'!K257</f>
        <v>Pza</v>
      </c>
    </row>
    <row r="585" spans="1:12" x14ac:dyDescent="0.25">
      <c r="A585" s="24"/>
      <c r="B585" s="150"/>
      <c r="C585" s="150"/>
      <c r="D585" s="150"/>
      <c r="G585" t="s">
        <v>75</v>
      </c>
      <c r="H585">
        <f>'Generador de obra'!J257</f>
        <v>2</v>
      </c>
    </row>
    <row r="586" spans="1:12" x14ac:dyDescent="0.25">
      <c r="A586" s="24"/>
      <c r="B586" s="150"/>
      <c r="C586" s="150"/>
      <c r="D586" s="150"/>
      <c r="G586" t="s">
        <v>76</v>
      </c>
      <c r="H586" s="39">
        <f>G590+G594+G595+H591+G592</f>
        <v>3228</v>
      </c>
    </row>
    <row r="587" spans="1:12" x14ac:dyDescent="0.25">
      <c r="A587" s="24"/>
      <c r="B587" s="150"/>
      <c r="C587" s="150"/>
      <c r="D587" s="150"/>
      <c r="G587" t="s">
        <v>12</v>
      </c>
      <c r="H587" s="42">
        <f>H586*H585</f>
        <v>6456</v>
      </c>
    </row>
    <row r="588" spans="1:12" x14ac:dyDescent="0.25">
      <c r="A588" s="5"/>
      <c r="B588" s="28" t="s">
        <v>2</v>
      </c>
      <c r="D588" s="28" t="s">
        <v>79</v>
      </c>
      <c r="E588" s="28" t="s">
        <v>11</v>
      </c>
      <c r="F588" s="28" t="s">
        <v>75</v>
      </c>
      <c r="G588" s="28" t="s">
        <v>76</v>
      </c>
      <c r="H588" s="28" t="s">
        <v>12</v>
      </c>
    </row>
    <row r="589" spans="1:12" x14ac:dyDescent="0.25">
      <c r="A589" s="5"/>
      <c r="B589" s="33" t="s">
        <v>78</v>
      </c>
    </row>
    <row r="590" spans="1:12" ht="30" x14ac:dyDescent="0.25">
      <c r="A590" s="5"/>
      <c r="D590" s="1" t="str">
        <f>Materiales!A57</f>
        <v>PUERTA MARCA PUERTAS INFINITY MODELO MADRID CEREZO .90X2.10 Y .80X2.10</v>
      </c>
      <c r="E590" t="str">
        <f>'Generador de obra'!K257</f>
        <v>Pza</v>
      </c>
      <c r="F590">
        <f>'Generador de obra'!J257</f>
        <v>2</v>
      </c>
      <c r="G590" s="15">
        <f>Materiales!B57</f>
        <v>1779</v>
      </c>
      <c r="H590" s="39">
        <f>F590*G590</f>
        <v>3558</v>
      </c>
    </row>
    <row r="591" spans="1:12" x14ac:dyDescent="0.25">
      <c r="A591" s="5"/>
      <c r="D591" t="str">
        <f>Materiales!A31</f>
        <v>BARNIZ POLYFORM 3000</v>
      </c>
      <c r="E591">
        <f>'Generador de obra'!K260</f>
        <v>0</v>
      </c>
      <c r="F591">
        <v>0.5</v>
      </c>
      <c r="G591" s="39">
        <f>Materiales!C31</f>
        <v>138</v>
      </c>
      <c r="H591" s="42">
        <f>F591*G591</f>
        <v>69</v>
      </c>
    </row>
    <row r="592" spans="1:12" x14ac:dyDescent="0.25">
      <c r="A592" s="5"/>
      <c r="D592" t="str">
        <f>Materiales!A59</f>
        <v>MANIJA GOLDEN NÍQUEL SATÍN MARCA DEFIANT</v>
      </c>
      <c r="E592" t="str">
        <f>E590</f>
        <v>Pza</v>
      </c>
      <c r="F592">
        <f>1</f>
        <v>1</v>
      </c>
      <c r="G592" s="15">
        <f>Materiales!B59</f>
        <v>280</v>
      </c>
      <c r="H592">
        <f>G592*F592</f>
        <v>280</v>
      </c>
    </row>
    <row r="593" spans="1:8" x14ac:dyDescent="0.25">
      <c r="A593" s="5"/>
    </row>
    <row r="594" spans="1:8" ht="30" x14ac:dyDescent="0.25">
      <c r="A594" s="5"/>
      <c r="B594" s="33" t="s">
        <v>77</v>
      </c>
      <c r="C594" t="s">
        <v>226</v>
      </c>
      <c r="D594" s="1" t="str">
        <f>'Mano de Obra'!A15</f>
        <v>Colocacion de puertas y chapa incluye mano de obra y herramienta</v>
      </c>
      <c r="E594" t="str">
        <f>'Generador de obra'!K257</f>
        <v>Pza</v>
      </c>
      <c r="F594">
        <f>'Generador de obra'!J257</f>
        <v>2</v>
      </c>
      <c r="G594" s="42">
        <f>'Mano de Obra'!C15</f>
        <v>500</v>
      </c>
      <c r="H594" s="42">
        <f>G594*F594</f>
        <v>1000</v>
      </c>
    </row>
    <row r="595" spans="1:8" x14ac:dyDescent="0.25">
      <c r="A595" s="5"/>
      <c r="D595" t="str">
        <f>'Mano de Obra'!A16</f>
        <v xml:space="preserve">Aplicación de barniz incluye mano de obra y herramienta </v>
      </c>
      <c r="E595">
        <f>'Generador de obra'!K260</f>
        <v>0</v>
      </c>
      <c r="F595">
        <f>'Generador de obra'!J260</f>
        <v>0</v>
      </c>
      <c r="G595" s="42">
        <f>'Mano de Obra'!C16</f>
        <v>600</v>
      </c>
      <c r="H595" s="42">
        <f>G595*F595</f>
        <v>0</v>
      </c>
    </row>
    <row r="596" spans="1:8" x14ac:dyDescent="0.25">
      <c r="A596" s="5"/>
    </row>
    <row r="597" spans="1:8" x14ac:dyDescent="0.25">
      <c r="A597" s="24"/>
      <c r="B597" s="150" t="str">
        <f>'Generador de obra'!B258</f>
        <v>Instalacion de Puerta del  madera para Recamaras de .85x2.05 marca Puertas Infinity modelo Madrid Cerezo Instalacion de manija golden niquel satin marca defian incluye marco, chambranas mano de obra, material,herramienta y todo para su correcta instalacion.</v>
      </c>
      <c r="C597" s="150"/>
      <c r="D597" s="150"/>
      <c r="G597" t="s">
        <v>11</v>
      </c>
      <c r="H597" t="str">
        <f>'Generador de obra'!K258</f>
        <v>Pza</v>
      </c>
    </row>
    <row r="598" spans="1:8" x14ac:dyDescent="0.25">
      <c r="A598" s="24"/>
      <c r="B598" s="150"/>
      <c r="C598" s="150"/>
      <c r="D598" s="150"/>
      <c r="G598" t="s">
        <v>75</v>
      </c>
      <c r="H598">
        <f>'Generador de obra'!J258</f>
        <v>7</v>
      </c>
    </row>
    <row r="599" spans="1:8" x14ac:dyDescent="0.25">
      <c r="A599" s="24"/>
      <c r="B599" s="150"/>
      <c r="C599" s="150"/>
      <c r="D599" s="150"/>
      <c r="G599" t="s">
        <v>76</v>
      </c>
      <c r="H599" s="39">
        <f>G603+H604+G605+G608+G609</f>
        <v>3228</v>
      </c>
    </row>
    <row r="600" spans="1:8" x14ac:dyDescent="0.25">
      <c r="A600" s="24"/>
      <c r="B600" s="150"/>
      <c r="C600" s="150"/>
      <c r="D600" s="150"/>
      <c r="G600" t="s">
        <v>12</v>
      </c>
      <c r="H600" s="42">
        <f>H598*H599</f>
        <v>22596</v>
      </c>
    </row>
    <row r="601" spans="1:8" x14ac:dyDescent="0.25">
      <c r="A601" s="5"/>
      <c r="B601" s="28" t="s">
        <v>2</v>
      </c>
      <c r="D601" s="28" t="s">
        <v>79</v>
      </c>
      <c r="E601" s="28" t="s">
        <v>11</v>
      </c>
      <c r="F601" s="28" t="s">
        <v>75</v>
      </c>
      <c r="G601" s="28" t="s">
        <v>76</v>
      </c>
      <c r="H601" s="28" t="s">
        <v>12</v>
      </c>
    </row>
    <row r="602" spans="1:8" x14ac:dyDescent="0.25">
      <c r="A602" s="5"/>
      <c r="B602" s="33" t="s">
        <v>78</v>
      </c>
    </row>
    <row r="603" spans="1:8" ht="30" x14ac:dyDescent="0.25">
      <c r="A603" s="5"/>
      <c r="B603" s="28"/>
      <c r="D603" s="1" t="str">
        <f t="shared" ref="D603:E605" si="23">D590</f>
        <v>PUERTA MARCA PUERTAS INFINITY MODELO MADRID CEREZO .90X2.10 Y .80X2.10</v>
      </c>
      <c r="E603" t="str">
        <f t="shared" si="23"/>
        <v>Pza</v>
      </c>
      <c r="F603">
        <f t="shared" ref="F603:H605" si="24">F590</f>
        <v>2</v>
      </c>
      <c r="G603" s="58">
        <f t="shared" si="24"/>
        <v>1779</v>
      </c>
      <c r="H603" s="58">
        <f t="shared" si="24"/>
        <v>3558</v>
      </c>
    </row>
    <row r="604" spans="1:8" x14ac:dyDescent="0.25">
      <c r="A604" s="5"/>
      <c r="B604" s="28"/>
      <c r="D604" t="str">
        <f t="shared" si="23"/>
        <v>BARNIZ POLYFORM 3000</v>
      </c>
      <c r="E604">
        <f t="shared" si="23"/>
        <v>0</v>
      </c>
      <c r="F604">
        <f t="shared" si="24"/>
        <v>0.5</v>
      </c>
      <c r="G604" s="35">
        <f t="shared" si="24"/>
        <v>138</v>
      </c>
      <c r="H604" s="15">
        <f t="shared" si="24"/>
        <v>69</v>
      </c>
    </row>
    <row r="605" spans="1:8" x14ac:dyDescent="0.25">
      <c r="A605" s="5"/>
      <c r="B605" s="28"/>
      <c r="D605" t="str">
        <f t="shared" si="23"/>
        <v>MANIJA GOLDEN NÍQUEL SATÍN MARCA DEFIANT</v>
      </c>
      <c r="E605" t="str">
        <f t="shared" si="23"/>
        <v>Pza</v>
      </c>
      <c r="F605">
        <f t="shared" si="24"/>
        <v>1</v>
      </c>
      <c r="G605" s="15">
        <f t="shared" si="24"/>
        <v>280</v>
      </c>
      <c r="H605" s="35">
        <f t="shared" si="24"/>
        <v>280</v>
      </c>
    </row>
    <row r="606" spans="1:8" x14ac:dyDescent="0.25">
      <c r="A606" s="5"/>
      <c r="B606" s="28"/>
    </row>
    <row r="607" spans="1:8" x14ac:dyDescent="0.25">
      <c r="A607" s="5"/>
      <c r="B607" s="28"/>
    </row>
    <row r="608" spans="1:8" ht="30" x14ac:dyDescent="0.25">
      <c r="A608" s="5"/>
      <c r="B608" s="33" t="s">
        <v>77</v>
      </c>
      <c r="C608" t="s">
        <v>89</v>
      </c>
      <c r="D608" s="1" t="str">
        <f t="shared" ref="D608:H609" si="25">D594</f>
        <v>Colocacion de puertas y chapa incluye mano de obra y herramienta</v>
      </c>
      <c r="E608" t="str">
        <f t="shared" si="25"/>
        <v>Pza</v>
      </c>
      <c r="F608">
        <f t="shared" si="25"/>
        <v>2</v>
      </c>
      <c r="G608" s="15">
        <f t="shared" si="25"/>
        <v>500</v>
      </c>
      <c r="H608" s="35">
        <f t="shared" si="25"/>
        <v>1000</v>
      </c>
    </row>
    <row r="609" spans="1:8" x14ac:dyDescent="0.25">
      <c r="A609" s="5"/>
      <c r="B609" s="28"/>
      <c r="D609" s="1" t="str">
        <f t="shared" si="25"/>
        <v xml:space="preserve">Aplicación de barniz incluye mano de obra y herramienta </v>
      </c>
      <c r="E609">
        <f t="shared" si="25"/>
        <v>0</v>
      </c>
      <c r="F609">
        <f t="shared" si="25"/>
        <v>0</v>
      </c>
      <c r="G609" s="15">
        <f t="shared" si="25"/>
        <v>600</v>
      </c>
      <c r="H609" s="35">
        <f t="shared" si="25"/>
        <v>0</v>
      </c>
    </row>
    <row r="610" spans="1:8" x14ac:dyDescent="0.25">
      <c r="A610" s="5"/>
    </row>
    <row r="611" spans="1:8" x14ac:dyDescent="0.25">
      <c r="A611" s="24"/>
      <c r="B611" s="150" t="str">
        <f>'Generador de obra'!B259</f>
        <v>Instalacion de Puerta del  madera para acceso de 1.70x2.10 hecha a la medida incluye marco, chambranas mano de obra, material,herramienta y todo para su correcta instalacion.</v>
      </c>
      <c r="C611" s="150"/>
      <c r="D611" s="150"/>
      <c r="G611" t="s">
        <v>11</v>
      </c>
      <c r="H611" t="str">
        <f>'Generador de obra'!K259</f>
        <v>Pza</v>
      </c>
    </row>
    <row r="612" spans="1:8" x14ac:dyDescent="0.25">
      <c r="A612" s="24"/>
      <c r="B612" s="150"/>
      <c r="C612" s="150"/>
      <c r="D612" s="150"/>
      <c r="G612" t="s">
        <v>75</v>
      </c>
      <c r="H612">
        <f>'Generador de obra'!J259</f>
        <v>1</v>
      </c>
    </row>
    <row r="613" spans="1:8" x14ac:dyDescent="0.25">
      <c r="A613" s="24"/>
      <c r="B613" s="150"/>
      <c r="C613" s="150"/>
      <c r="D613" s="150"/>
      <c r="G613" t="s">
        <v>76</v>
      </c>
      <c r="H613" s="39">
        <f>G617+H618</f>
        <v>5069</v>
      </c>
    </row>
    <row r="614" spans="1:8" x14ac:dyDescent="0.25">
      <c r="A614" s="24"/>
      <c r="B614" s="150"/>
      <c r="C614" s="150"/>
      <c r="D614" s="150"/>
      <c r="G614" t="s">
        <v>12</v>
      </c>
      <c r="H614" s="42">
        <f>H613*H612</f>
        <v>5069</v>
      </c>
    </row>
    <row r="615" spans="1:8" x14ac:dyDescent="0.25">
      <c r="A615" s="5"/>
      <c r="B615" s="28" t="s">
        <v>2</v>
      </c>
      <c r="D615" s="28" t="s">
        <v>79</v>
      </c>
      <c r="E615" s="28" t="s">
        <v>11</v>
      </c>
      <c r="F615" s="28" t="s">
        <v>75</v>
      </c>
      <c r="G615" s="28" t="s">
        <v>76</v>
      </c>
      <c r="H615" s="28" t="s">
        <v>12</v>
      </c>
    </row>
    <row r="616" spans="1:8" x14ac:dyDescent="0.25">
      <c r="A616" s="5"/>
      <c r="B616" s="33" t="s">
        <v>78</v>
      </c>
    </row>
    <row r="617" spans="1:8" x14ac:dyDescent="0.25">
      <c r="A617" s="5"/>
      <c r="D617" t="str">
        <f>Materiales!A58</f>
        <v>PUERTA HECHA A LA MEDIDA DE 1.5X2.1</v>
      </c>
      <c r="E617" t="str">
        <f>'Generador de obra'!K259</f>
        <v>Pza</v>
      </c>
      <c r="F617">
        <f>'Generador de obra'!J259</f>
        <v>1</v>
      </c>
      <c r="G617" s="15">
        <f>Materiales!B58</f>
        <v>5000</v>
      </c>
      <c r="H617" s="39">
        <f>F617*G617</f>
        <v>5000</v>
      </c>
    </row>
    <row r="618" spans="1:8" x14ac:dyDescent="0.25">
      <c r="A618" s="5"/>
      <c r="D618" t="str">
        <f>D609</f>
        <v xml:space="preserve">Aplicación de barniz incluye mano de obra y herramienta </v>
      </c>
      <c r="E618">
        <f>E609</f>
        <v>0</v>
      </c>
      <c r="F618">
        <f>F604</f>
        <v>0.5</v>
      </c>
      <c r="G618" s="35">
        <f>G604</f>
        <v>138</v>
      </c>
      <c r="H618" s="15">
        <f>H604</f>
        <v>69</v>
      </c>
    </row>
    <row r="619" spans="1:8" x14ac:dyDescent="0.25">
      <c r="A619" s="5"/>
      <c r="D619" t="s">
        <v>229</v>
      </c>
    </row>
    <row r="620" spans="1:8" x14ac:dyDescent="0.25">
      <c r="A620" s="5"/>
      <c r="B620" s="33" t="s">
        <v>77</v>
      </c>
      <c r="C620" t="s">
        <v>226</v>
      </c>
    </row>
    <row r="621" spans="1:8" x14ac:dyDescent="0.25">
      <c r="A621" s="5"/>
      <c r="D621" t="str">
        <f>D609</f>
        <v xml:space="preserve">Aplicación de barniz incluye mano de obra y herramienta </v>
      </c>
      <c r="E621">
        <f>E609</f>
        <v>0</v>
      </c>
      <c r="F621">
        <v>1</v>
      </c>
      <c r="G621" s="15">
        <f>G609</f>
        <v>600</v>
      </c>
      <c r="H621" s="35">
        <f>F621*G621</f>
        <v>600</v>
      </c>
    </row>
    <row r="622" spans="1:8" x14ac:dyDescent="0.25">
      <c r="A622" s="5"/>
    </row>
    <row r="623" spans="1:8" x14ac:dyDescent="0.25">
      <c r="A623" s="158" t="s">
        <v>235</v>
      </c>
      <c r="B623" s="158"/>
      <c r="C623" s="158"/>
      <c r="D623" s="158"/>
      <c r="E623" s="61">
        <f>H614+H600+H587</f>
        <v>34121</v>
      </c>
    </row>
    <row r="625" spans="1:12" x14ac:dyDescent="0.25">
      <c r="A625" s="139" t="s">
        <v>121</v>
      </c>
      <c r="B625" s="139"/>
      <c r="C625" s="139"/>
      <c r="D625" s="139"/>
      <c r="E625" s="139"/>
      <c r="F625" s="139"/>
      <c r="G625" s="139"/>
      <c r="H625" s="139"/>
      <c r="I625" s="139"/>
      <c r="J625" s="139"/>
      <c r="K625" s="139"/>
      <c r="L625" s="139"/>
    </row>
    <row r="626" spans="1:12" x14ac:dyDescent="0.25">
      <c r="A626" s="2"/>
      <c r="B626" s="150" t="str">
        <f>'Generador de obra'!B263</f>
        <v>Aplicación de sellador marca comex clasico 1X5 clasico incluye mano de obra, herramienta y material para su correcta aplicación.</v>
      </c>
      <c r="C626" s="150"/>
      <c r="D626" s="150"/>
      <c r="G626" t="s">
        <v>11</v>
      </c>
      <c r="H626" t="str">
        <f>E631</f>
        <v>M²</v>
      </c>
    </row>
    <row r="627" spans="1:12" x14ac:dyDescent="0.25">
      <c r="A627" s="2"/>
      <c r="B627" s="150"/>
      <c r="C627" s="150"/>
      <c r="D627" s="150"/>
      <c r="G627" t="s">
        <v>75</v>
      </c>
      <c r="H627">
        <f>F631</f>
        <v>1025.29</v>
      </c>
    </row>
    <row r="628" spans="1:12" x14ac:dyDescent="0.25">
      <c r="A628" s="2"/>
      <c r="B628" s="150"/>
      <c r="C628" s="150"/>
      <c r="D628" s="150"/>
      <c r="G628" t="s">
        <v>76</v>
      </c>
      <c r="H628" s="39">
        <f>G631+G633</f>
        <v>9.16</v>
      </c>
    </row>
    <row r="629" spans="1:12" x14ac:dyDescent="0.25">
      <c r="A629" s="2"/>
      <c r="B629" s="150"/>
      <c r="C629" s="150"/>
      <c r="D629" s="150"/>
      <c r="G629" t="s">
        <v>12</v>
      </c>
      <c r="H629" s="42">
        <f>H627*H628</f>
        <v>9391.6563999999998</v>
      </c>
    </row>
    <row r="630" spans="1:12" x14ac:dyDescent="0.25">
      <c r="B630" s="28" t="s">
        <v>2</v>
      </c>
      <c r="D630" s="28" t="s">
        <v>79</v>
      </c>
      <c r="E630" s="28" t="s">
        <v>11</v>
      </c>
      <c r="F630" s="28" t="s">
        <v>75</v>
      </c>
      <c r="G630" s="28" t="s">
        <v>76</v>
      </c>
      <c r="H630" s="28" t="s">
        <v>12</v>
      </c>
    </row>
    <row r="631" spans="1:12" x14ac:dyDescent="0.25">
      <c r="B631" s="33" t="s">
        <v>78</v>
      </c>
      <c r="D631" t="str">
        <f>Materiales!A35</f>
        <v>SELLADOR 1X5 COMEX</v>
      </c>
      <c r="E631" t="str">
        <f>'Generador de obra'!K263</f>
        <v>M²</v>
      </c>
      <c r="F631">
        <f>'Generador de obra'!J263</f>
        <v>1025.29</v>
      </c>
      <c r="G631" s="15">
        <v>1.1599999999999999</v>
      </c>
      <c r="H631" s="15">
        <f>F631*G631</f>
        <v>1189.3363999999999</v>
      </c>
    </row>
    <row r="633" spans="1:12" ht="30" x14ac:dyDescent="0.25">
      <c r="B633" s="33" t="s">
        <v>77</v>
      </c>
      <c r="C633" t="s">
        <v>323</v>
      </c>
      <c r="D633" s="1" t="str">
        <f>'Mano de Obra'!A26</f>
        <v>Aplicación de sellador incluye mano de obra y herramienta para su correcta aplicación</v>
      </c>
      <c r="E633" t="str">
        <f>E631</f>
        <v>M²</v>
      </c>
      <c r="F633">
        <f>F631</f>
        <v>1025.29</v>
      </c>
      <c r="G633" s="15">
        <f>'Mano de Obra'!C26</f>
        <v>8</v>
      </c>
      <c r="H633" s="35">
        <f>G633*F633</f>
        <v>8202.32</v>
      </c>
    </row>
    <row r="634" spans="1:12" x14ac:dyDescent="0.25">
      <c r="G634" s="35"/>
      <c r="H634" s="35"/>
    </row>
    <row r="635" spans="1:12" x14ac:dyDescent="0.25">
      <c r="G635" s="35"/>
      <c r="H635" s="35"/>
    </row>
    <row r="636" spans="1:12" x14ac:dyDescent="0.25">
      <c r="A636" s="2"/>
      <c r="B636" s="150" t="str">
        <f>'Generador de obra'!B264</f>
        <v>Aplicación de pintura comex color blanco amanecer incluye mano de obra, material y herramienta para su correcta aplicación</v>
      </c>
      <c r="C636" s="150"/>
      <c r="D636" s="150"/>
      <c r="G636" t="s">
        <v>11</v>
      </c>
      <c r="H636" s="35" t="str">
        <f>E642</f>
        <v>M²</v>
      </c>
    </row>
    <row r="637" spans="1:12" x14ac:dyDescent="0.25">
      <c r="A637" s="2"/>
      <c r="B637" s="150"/>
      <c r="C637" s="150"/>
      <c r="D637" s="150"/>
      <c r="G637" t="s">
        <v>75</v>
      </c>
      <c r="H637" s="35">
        <f>F642</f>
        <v>1025.29</v>
      </c>
    </row>
    <row r="638" spans="1:12" x14ac:dyDescent="0.25">
      <c r="A638" s="2"/>
      <c r="B638" s="150"/>
      <c r="C638" s="150"/>
      <c r="D638" s="150"/>
      <c r="G638" t="s">
        <v>76</v>
      </c>
      <c r="H638" s="35">
        <f>G642+G644</f>
        <v>22.25</v>
      </c>
    </row>
    <row r="639" spans="1:12" x14ac:dyDescent="0.25">
      <c r="A639" s="2"/>
      <c r="B639" s="150"/>
      <c r="C639" s="150"/>
      <c r="D639" s="150"/>
      <c r="G639" t="s">
        <v>12</v>
      </c>
      <c r="H639" s="15">
        <f>H637*H638</f>
        <v>22812.702499999999</v>
      </c>
    </row>
    <row r="640" spans="1:12" x14ac:dyDescent="0.25">
      <c r="B640" s="28" t="s">
        <v>2</v>
      </c>
      <c r="D640" s="28" t="s">
        <v>79</v>
      </c>
      <c r="E640" s="28" t="s">
        <v>11</v>
      </c>
      <c r="F640" s="28" t="s">
        <v>75</v>
      </c>
      <c r="G640" s="28" t="s">
        <v>76</v>
      </c>
      <c r="H640" s="28" t="s">
        <v>12</v>
      </c>
    </row>
    <row r="641" spans="1:12" x14ac:dyDescent="0.25">
      <c r="B641" s="33" t="s">
        <v>78</v>
      </c>
    </row>
    <row r="642" spans="1:12" x14ac:dyDescent="0.25">
      <c r="A642" s="28"/>
      <c r="B642" s="28"/>
      <c r="D642" t="str">
        <f>Materiales!A32</f>
        <v>PINTURA COMEX BLANCO AMANECER EASY CLEAN</v>
      </c>
      <c r="E642" t="str">
        <f>'Generador de obra'!K263</f>
        <v>M²</v>
      </c>
      <c r="F642">
        <f>'Generador de obra'!J263</f>
        <v>1025.29</v>
      </c>
      <c r="G642" s="15">
        <v>7.25</v>
      </c>
      <c r="H642" s="15">
        <f>F642*G642</f>
        <v>7433.3525</v>
      </c>
    </row>
    <row r="643" spans="1:12" x14ac:dyDescent="0.25">
      <c r="A643" s="28"/>
      <c r="B643" s="28"/>
    </row>
    <row r="644" spans="1:12" ht="30" x14ac:dyDescent="0.25">
      <c r="A644" s="28"/>
      <c r="B644" s="33" t="s">
        <v>77</v>
      </c>
      <c r="C644" t="s">
        <v>323</v>
      </c>
      <c r="D644" s="1" t="str">
        <f>'Mano de Obra'!A25</f>
        <v>Aplicación de pintura vinilica incluye mano de obra y herramienta para su correcta aplicación</v>
      </c>
      <c r="E644" t="str">
        <f>E642</f>
        <v>M²</v>
      </c>
      <c r="F644">
        <f>F642</f>
        <v>1025.29</v>
      </c>
      <c r="G644" s="42">
        <f>'Mano de Obra'!C25</f>
        <v>15</v>
      </c>
      <c r="H644" s="42">
        <f>F644*G644</f>
        <v>15379.349999999999</v>
      </c>
    </row>
    <row r="645" spans="1:12" x14ac:dyDescent="0.25">
      <c r="A645" s="28"/>
      <c r="B645" s="28"/>
      <c r="D645" s="1"/>
      <c r="G645" s="42"/>
      <c r="H645" s="42"/>
    </row>
    <row r="646" spans="1:12" x14ac:dyDescent="0.25">
      <c r="A646" s="158" t="s">
        <v>326</v>
      </c>
      <c r="B646" s="158"/>
      <c r="C646" s="158"/>
      <c r="D646" s="158"/>
      <c r="E646" s="48">
        <f>H639+H629</f>
        <v>32204.358899999999</v>
      </c>
      <c r="G646" s="42"/>
      <c r="H646" s="42"/>
    </row>
    <row r="647" spans="1:12" x14ac:dyDescent="0.25">
      <c r="A647" s="28"/>
      <c r="B647" s="28"/>
    </row>
    <row r="648" spans="1:12" x14ac:dyDescent="0.25">
      <c r="A648" s="139" t="s">
        <v>122</v>
      </c>
      <c r="B648" s="139"/>
      <c r="C648" s="139"/>
      <c r="D648" s="139"/>
      <c r="E648" s="139"/>
      <c r="F648" s="139"/>
      <c r="G648" s="139"/>
      <c r="H648" s="139"/>
      <c r="I648" s="139"/>
      <c r="J648" s="139"/>
      <c r="K648" s="139"/>
      <c r="L648" s="139"/>
    </row>
    <row r="649" spans="1:12" x14ac:dyDescent="0.25">
      <c r="A649" s="2"/>
      <c r="B649" s="150" t="str">
        <f>'Generador de obra'!B267</f>
        <v>plantacion de pasto de pasto bermuda por rollo en area de jardin incluye mano de obra y todo lo necesario para su correcta colocacion</v>
      </c>
      <c r="C649" s="150"/>
      <c r="D649" s="150"/>
      <c r="G649" t="s">
        <v>11</v>
      </c>
      <c r="H649" t="str">
        <f>E654</f>
        <v>Pza</v>
      </c>
    </row>
    <row r="650" spans="1:12" x14ac:dyDescent="0.25">
      <c r="A650" s="2"/>
      <c r="B650" s="150"/>
      <c r="C650" s="150"/>
      <c r="D650" s="150"/>
      <c r="G650" t="s">
        <v>75</v>
      </c>
      <c r="H650">
        <f>F654</f>
        <v>2</v>
      </c>
    </row>
    <row r="651" spans="1:12" x14ac:dyDescent="0.25">
      <c r="A651" s="2"/>
      <c r="B651" s="150"/>
      <c r="C651" s="150"/>
      <c r="D651" s="150"/>
      <c r="G651" t="s">
        <v>76</v>
      </c>
      <c r="H651" s="39">
        <f>G654</f>
        <v>175</v>
      </c>
    </row>
    <row r="652" spans="1:12" x14ac:dyDescent="0.25">
      <c r="A652" s="2"/>
      <c r="B652" s="150"/>
      <c r="C652" s="150"/>
      <c r="D652" s="150"/>
      <c r="G652" t="s">
        <v>12</v>
      </c>
      <c r="H652" s="42">
        <f>H650*H651</f>
        <v>350</v>
      </c>
    </row>
    <row r="653" spans="1:12" x14ac:dyDescent="0.25">
      <c r="B653" s="28" t="s">
        <v>2</v>
      </c>
      <c r="D653" s="28" t="s">
        <v>79</v>
      </c>
      <c r="E653" s="28" t="s">
        <v>11</v>
      </c>
      <c r="F653" s="28" t="s">
        <v>75</v>
      </c>
      <c r="G653" s="28" t="s">
        <v>76</v>
      </c>
      <c r="H653" s="28" t="s">
        <v>12</v>
      </c>
    </row>
    <row r="654" spans="1:12" x14ac:dyDescent="0.25">
      <c r="B654" s="33" t="s">
        <v>78</v>
      </c>
      <c r="D654" t="str">
        <f>Materiales!A62</f>
        <v>MACETAS DE BARRO CON PALMAS</v>
      </c>
      <c r="E654" t="s">
        <v>34</v>
      </c>
      <c r="F654">
        <v>2</v>
      </c>
      <c r="G654" s="15">
        <f>Materiales!B62</f>
        <v>175</v>
      </c>
      <c r="H654" s="15">
        <f>F654*G654</f>
        <v>350</v>
      </c>
    </row>
    <row r="656" spans="1:12" x14ac:dyDescent="0.25">
      <c r="A656" s="158" t="s">
        <v>238</v>
      </c>
      <c r="B656" s="158"/>
      <c r="C656" s="158"/>
      <c r="D656" s="158"/>
      <c r="E656" s="48">
        <f>H652</f>
        <v>350</v>
      </c>
    </row>
    <row r="658" spans="1:12" x14ac:dyDescent="0.25">
      <c r="A658" s="139" t="s">
        <v>239</v>
      </c>
      <c r="B658" s="139"/>
      <c r="C658" s="139"/>
      <c r="D658" s="139"/>
      <c r="E658" s="139"/>
      <c r="F658" s="139"/>
      <c r="G658" s="139"/>
      <c r="H658" s="139"/>
      <c r="I658" s="139"/>
      <c r="J658" s="139"/>
      <c r="K658" s="139"/>
      <c r="L658" s="139"/>
    </row>
    <row r="659" spans="1:12" x14ac:dyDescent="0.25">
      <c r="A659" s="2"/>
      <c r="B659" s="150" t="str">
        <f>'Generador de obra'!B270</f>
        <v xml:space="preserve">Limpieza Final: Limpieza para entrega de la obra a base de agua, detergente y jabon esto incluye mano de obra y materiales como escobas, trapadadores,jergas, fibras.                                                   Incluyen limpieza en pisos, puertas, ventanas, muebles de baño y de servicio y todo los elementos que se encuentren dentro de la planta    </v>
      </c>
      <c r="C659" s="150"/>
      <c r="D659" s="150"/>
      <c r="G659" t="s">
        <v>11</v>
      </c>
      <c r="H659" t="str">
        <f>E665</f>
        <v>M²</v>
      </c>
    </row>
    <row r="660" spans="1:12" x14ac:dyDescent="0.25">
      <c r="A660" s="2"/>
      <c r="B660" s="150"/>
      <c r="C660" s="150"/>
      <c r="D660" s="150"/>
      <c r="G660" t="s">
        <v>75</v>
      </c>
      <c r="H660">
        <f>F665</f>
        <v>300.19</v>
      </c>
    </row>
    <row r="661" spans="1:12" x14ac:dyDescent="0.25">
      <c r="A661" s="2"/>
      <c r="B661" s="150"/>
      <c r="C661" s="150"/>
      <c r="D661" s="150"/>
      <c r="G661" t="s">
        <v>76</v>
      </c>
      <c r="H661" s="39">
        <f>G665</f>
        <v>5.833333333333333</v>
      </c>
    </row>
    <row r="662" spans="1:12" x14ac:dyDescent="0.25">
      <c r="A662" s="2"/>
      <c r="B662" s="150"/>
      <c r="C662" s="150"/>
      <c r="D662" s="150"/>
      <c r="G662" t="s">
        <v>12</v>
      </c>
      <c r="H662" s="42">
        <f>H660*H661</f>
        <v>1751.1083333333331</v>
      </c>
    </row>
    <row r="663" spans="1:12" x14ac:dyDescent="0.25">
      <c r="B663" s="28" t="s">
        <v>2</v>
      </c>
      <c r="D663" s="28" t="s">
        <v>79</v>
      </c>
      <c r="E663" s="28" t="s">
        <v>11</v>
      </c>
      <c r="F663" s="28" t="s">
        <v>75</v>
      </c>
      <c r="G663" s="28" t="s">
        <v>76</v>
      </c>
      <c r="H663" s="28" t="s">
        <v>12</v>
      </c>
    </row>
    <row r="664" spans="1:12" x14ac:dyDescent="0.25">
      <c r="B664" s="33" t="s">
        <v>78</v>
      </c>
    </row>
    <row r="665" spans="1:12" ht="30" x14ac:dyDescent="0.25">
      <c r="D665" s="1" t="str">
        <f>'Mano de Obra'!A28</f>
        <v>Limpieza a base de agua jabon, incluye mano de obra y materiales para su elaboracion</v>
      </c>
      <c r="E665" t="str">
        <f>'Mano de Obra'!B28</f>
        <v>M²</v>
      </c>
      <c r="F665">
        <f>'Generador de obra'!J270</f>
        <v>300.19</v>
      </c>
      <c r="G665" s="39">
        <f>'Mano de Obra'!C28</f>
        <v>5.833333333333333</v>
      </c>
      <c r="H665" s="42">
        <f>F665*G665</f>
        <v>1751.1083333333331</v>
      </c>
    </row>
    <row r="670" spans="1:12" x14ac:dyDescent="0.25">
      <c r="A670" s="158" t="s">
        <v>241</v>
      </c>
      <c r="B670" s="158"/>
      <c r="C670" s="158"/>
      <c r="D670" s="158"/>
      <c r="E670" s="48">
        <f>H662</f>
        <v>1751.1083333333331</v>
      </c>
    </row>
  </sheetData>
  <mergeCells count="65">
    <mergeCell ref="B547:D550"/>
    <mergeCell ref="B562:D565"/>
    <mergeCell ref="B353:D356"/>
    <mergeCell ref="B370:D373"/>
    <mergeCell ref="B380:D383"/>
    <mergeCell ref="B391:D394"/>
    <mergeCell ref="B402:D405"/>
    <mergeCell ref="B412:D415"/>
    <mergeCell ref="B422:D425"/>
    <mergeCell ref="B432:D435"/>
    <mergeCell ref="B446:D449"/>
    <mergeCell ref="B494:D497"/>
    <mergeCell ref="B218:D221"/>
    <mergeCell ref="B245:D248"/>
    <mergeCell ref="B271:D274"/>
    <mergeCell ref="B231:D234"/>
    <mergeCell ref="A546:L546"/>
    <mergeCell ref="B597:D600"/>
    <mergeCell ref="B611:D614"/>
    <mergeCell ref="B461:D464"/>
    <mergeCell ref="B477:D480"/>
    <mergeCell ref="B17:D20"/>
    <mergeCell ref="B26:D29"/>
    <mergeCell ref="B35:D38"/>
    <mergeCell ref="B53:D56"/>
    <mergeCell ref="A70:D70"/>
    <mergeCell ref="B134:D137"/>
    <mergeCell ref="B188:D191"/>
    <mergeCell ref="B73:D76"/>
    <mergeCell ref="B86:D89"/>
    <mergeCell ref="B108:D111"/>
    <mergeCell ref="B296:D299"/>
    <mergeCell ref="B325:D328"/>
    <mergeCell ref="A670:D670"/>
    <mergeCell ref="B649:D652"/>
    <mergeCell ref="A656:D656"/>
    <mergeCell ref="A215:D215"/>
    <mergeCell ref="A623:D623"/>
    <mergeCell ref="A458:D458"/>
    <mergeCell ref="A443:D443"/>
    <mergeCell ref="A366:D366"/>
    <mergeCell ref="A322:D322"/>
    <mergeCell ref="B527:D530"/>
    <mergeCell ref="B584:D587"/>
    <mergeCell ref="B626:D629"/>
    <mergeCell ref="B636:D639"/>
    <mergeCell ref="B659:D662"/>
    <mergeCell ref="A646:D646"/>
    <mergeCell ref="A543:D543"/>
    <mergeCell ref="B511:D514"/>
    <mergeCell ref="A1:H1"/>
    <mergeCell ref="A2:H2"/>
    <mergeCell ref="A3:H3"/>
    <mergeCell ref="A4:H4"/>
    <mergeCell ref="A151:H151"/>
    <mergeCell ref="A5:H5"/>
    <mergeCell ref="A6:H6"/>
    <mergeCell ref="A72:H72"/>
    <mergeCell ref="A149:D149"/>
    <mergeCell ref="B12:D15"/>
    <mergeCell ref="B152:D155"/>
    <mergeCell ref="B163:D166"/>
    <mergeCell ref="B176:D179"/>
    <mergeCell ref="A182:D182"/>
    <mergeCell ref="B342:D345"/>
  </mergeCells>
  <pageMargins left="0.7" right="0.7" top="0.75" bottom="0.75" header="0.3" footer="0.3"/>
  <pageSetup paperSize="9" scale="6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L163"/>
  <sheetViews>
    <sheetView topLeftCell="A11" workbookViewId="0">
      <selection activeCell="C5" sqref="C5"/>
    </sheetView>
  </sheetViews>
  <sheetFormatPr baseColWidth="10" defaultRowHeight="15" x14ac:dyDescent="0.25"/>
  <cols>
    <col min="1" max="1" width="37.28515625" customWidth="1"/>
    <col min="2" max="2" width="27.5703125" customWidth="1"/>
    <col min="4" max="4" width="12.7109375" customWidth="1"/>
    <col min="5" max="5" width="8.85546875" customWidth="1"/>
    <col min="6" max="6" width="16" customWidth="1"/>
    <col min="8" max="8" width="23" customWidth="1"/>
    <col min="9" max="9" width="15.85546875" customWidth="1"/>
  </cols>
  <sheetData>
    <row r="1" spans="1:11" ht="18.75" x14ac:dyDescent="0.4">
      <c r="A1" s="164" t="s">
        <v>99</v>
      </c>
      <c r="B1" s="164"/>
      <c r="C1" s="164"/>
      <c r="D1" s="164"/>
      <c r="E1" s="164"/>
      <c r="F1" s="164"/>
      <c r="J1" s="9"/>
      <c r="K1" s="9"/>
    </row>
    <row r="2" spans="1:11" x14ac:dyDescent="0.25">
      <c r="A2" s="10"/>
      <c r="B2" s="10"/>
      <c r="C2" s="10"/>
      <c r="D2" s="10"/>
      <c r="E2" s="10"/>
    </row>
    <row r="3" spans="1:11" x14ac:dyDescent="0.25">
      <c r="A3" s="10" t="s">
        <v>36</v>
      </c>
      <c r="B3" s="10" t="s">
        <v>37</v>
      </c>
      <c r="C3" s="10" t="s">
        <v>38</v>
      </c>
      <c r="D3" s="10" t="s">
        <v>39</v>
      </c>
      <c r="E3" s="10" t="s">
        <v>38</v>
      </c>
    </row>
    <row r="4" spans="1:11" x14ac:dyDescent="0.25">
      <c r="A4" s="10"/>
      <c r="B4" s="10"/>
      <c r="C4" s="10"/>
      <c r="D4" s="10"/>
      <c r="E4" s="10"/>
    </row>
    <row r="5" spans="1:11" x14ac:dyDescent="0.25">
      <c r="A5" s="10" t="s">
        <v>40</v>
      </c>
      <c r="B5" s="11" t="s">
        <v>41</v>
      </c>
      <c r="C5" s="12">
        <v>2380</v>
      </c>
      <c r="D5" s="12" t="s">
        <v>42</v>
      </c>
      <c r="E5" s="12">
        <v>120</v>
      </c>
    </row>
    <row r="6" spans="1:11" x14ac:dyDescent="0.25">
      <c r="A6" s="10" t="s">
        <v>43</v>
      </c>
      <c r="B6" s="11" t="s">
        <v>41</v>
      </c>
      <c r="C6" s="12">
        <v>2360</v>
      </c>
      <c r="D6" s="12" t="s">
        <v>42</v>
      </c>
      <c r="E6" s="12">
        <v>119</v>
      </c>
    </row>
    <row r="7" spans="1:11" x14ac:dyDescent="0.25">
      <c r="A7" s="10" t="s">
        <v>44</v>
      </c>
      <c r="B7" s="11" t="s">
        <v>41</v>
      </c>
      <c r="C7" s="12">
        <v>2300</v>
      </c>
      <c r="D7" s="12" t="s">
        <v>42</v>
      </c>
      <c r="E7" s="12">
        <v>116</v>
      </c>
    </row>
    <row r="8" spans="1:11" x14ac:dyDescent="0.25">
      <c r="A8" s="10" t="s">
        <v>45</v>
      </c>
      <c r="B8" s="11" t="s">
        <v>41</v>
      </c>
      <c r="C8" s="12">
        <v>2300</v>
      </c>
      <c r="D8" s="12" t="s">
        <v>42</v>
      </c>
      <c r="E8" s="12">
        <v>116</v>
      </c>
    </row>
    <row r="9" spans="1:11" x14ac:dyDescent="0.25">
      <c r="A9" s="10" t="s">
        <v>46</v>
      </c>
      <c r="B9" s="11" t="s">
        <v>47</v>
      </c>
      <c r="C9" s="12">
        <v>12500</v>
      </c>
      <c r="D9" s="11" t="s">
        <v>48</v>
      </c>
      <c r="E9" s="12">
        <v>84</v>
      </c>
    </row>
    <row r="10" spans="1:11" x14ac:dyDescent="0.25">
      <c r="A10" s="10" t="s">
        <v>49</v>
      </c>
      <c r="B10" s="11" t="s">
        <v>50</v>
      </c>
      <c r="C10" s="12">
        <v>12500</v>
      </c>
      <c r="D10" s="11" t="s">
        <v>48</v>
      </c>
      <c r="E10" s="12">
        <v>153</v>
      </c>
    </row>
    <row r="11" spans="1:11" x14ac:dyDescent="0.25">
      <c r="A11" s="10" t="s">
        <v>51</v>
      </c>
      <c r="B11" s="11" t="s">
        <v>52</v>
      </c>
      <c r="C11" s="12">
        <v>1800</v>
      </c>
      <c r="D11" s="12" t="s">
        <v>42</v>
      </c>
      <c r="E11" s="12">
        <v>46</v>
      </c>
    </row>
    <row r="12" spans="1:11" x14ac:dyDescent="0.25">
      <c r="A12" s="10" t="s">
        <v>53</v>
      </c>
      <c r="B12" s="11" t="s">
        <v>41</v>
      </c>
      <c r="C12" s="12">
        <v>1950</v>
      </c>
      <c r="D12" s="11" t="s">
        <v>42</v>
      </c>
      <c r="E12" s="12">
        <v>99</v>
      </c>
    </row>
    <row r="13" spans="1:11" x14ac:dyDescent="0.25">
      <c r="A13" s="10" t="s">
        <v>54</v>
      </c>
      <c r="B13" s="11" t="s">
        <v>41</v>
      </c>
      <c r="C13" s="12">
        <v>1880</v>
      </c>
      <c r="D13" s="11" t="s">
        <v>42</v>
      </c>
      <c r="E13" s="12">
        <v>95</v>
      </c>
    </row>
    <row r="14" spans="1:11" x14ac:dyDescent="0.25">
      <c r="A14" s="10" t="s">
        <v>55</v>
      </c>
      <c r="B14" s="11" t="s">
        <v>41</v>
      </c>
      <c r="C14" s="12">
        <v>1720</v>
      </c>
      <c r="D14" s="11" t="s">
        <v>42</v>
      </c>
      <c r="E14" s="12">
        <v>88</v>
      </c>
    </row>
    <row r="15" spans="1:11" x14ac:dyDescent="0.25">
      <c r="A15" s="10" t="s">
        <v>56</v>
      </c>
      <c r="B15" s="11" t="s">
        <v>57</v>
      </c>
      <c r="C15" s="13">
        <v>4100</v>
      </c>
      <c r="D15" s="11" t="s">
        <v>42</v>
      </c>
      <c r="E15" s="12">
        <v>84</v>
      </c>
    </row>
    <row r="16" spans="1:11" x14ac:dyDescent="0.25">
      <c r="A16" s="10" t="s">
        <v>58</v>
      </c>
      <c r="B16" s="11" t="s">
        <v>57</v>
      </c>
      <c r="C16" s="12">
        <v>2650</v>
      </c>
      <c r="D16" s="11" t="s">
        <v>42</v>
      </c>
      <c r="E16" s="12">
        <v>55</v>
      </c>
    </row>
    <row r="17" spans="1:6" x14ac:dyDescent="0.25">
      <c r="A17" s="10" t="s">
        <v>59</v>
      </c>
      <c r="B17" s="11" t="s">
        <v>57</v>
      </c>
      <c r="C17" s="12">
        <v>2200</v>
      </c>
      <c r="D17" s="11" t="s">
        <v>42</v>
      </c>
      <c r="E17" s="12">
        <v>46</v>
      </c>
    </row>
    <row r="18" spans="1:6" x14ac:dyDescent="0.25">
      <c r="A18" s="10" t="s">
        <v>60</v>
      </c>
      <c r="B18" s="11" t="s">
        <v>61</v>
      </c>
      <c r="C18" s="12">
        <v>15</v>
      </c>
      <c r="D18" s="11"/>
      <c r="E18" s="11"/>
    </row>
    <row r="19" spans="1:6" x14ac:dyDescent="0.25">
      <c r="A19" s="10" t="s">
        <v>62</v>
      </c>
      <c r="B19" s="11" t="s">
        <v>61</v>
      </c>
      <c r="C19" s="12">
        <v>14</v>
      </c>
      <c r="D19" s="11"/>
      <c r="E19" s="11"/>
    </row>
    <row r="20" spans="1:6" x14ac:dyDescent="0.25">
      <c r="A20" s="10" t="s">
        <v>63</v>
      </c>
      <c r="B20" s="11" t="s">
        <v>64</v>
      </c>
      <c r="C20" s="12">
        <v>430</v>
      </c>
      <c r="D20" s="11" t="s">
        <v>61</v>
      </c>
      <c r="E20" s="12">
        <v>20</v>
      </c>
    </row>
    <row r="21" spans="1:6" x14ac:dyDescent="0.25">
      <c r="A21" s="10" t="s">
        <v>65</v>
      </c>
      <c r="B21" s="11" t="s">
        <v>64</v>
      </c>
      <c r="C21" s="12">
        <v>430</v>
      </c>
      <c r="D21" s="11" t="s">
        <v>61</v>
      </c>
      <c r="E21" s="12">
        <v>20</v>
      </c>
    </row>
    <row r="22" spans="1:6" x14ac:dyDescent="0.25">
      <c r="A22" s="10" t="s">
        <v>66</v>
      </c>
      <c r="B22" s="11" t="s">
        <v>61</v>
      </c>
      <c r="C22" s="12">
        <v>47</v>
      </c>
      <c r="D22" s="11"/>
      <c r="E22" s="11"/>
    </row>
    <row r="23" spans="1:6" x14ac:dyDescent="0.25">
      <c r="A23" s="10" t="s">
        <v>210</v>
      </c>
      <c r="B23" s="11" t="s">
        <v>88</v>
      </c>
      <c r="C23" s="12">
        <v>2.2000000000000002</v>
      </c>
      <c r="D23" s="11" t="s">
        <v>194</v>
      </c>
      <c r="E23" s="50">
        <v>1850</v>
      </c>
    </row>
    <row r="24" spans="1:6" x14ac:dyDescent="0.25">
      <c r="A24" s="10"/>
      <c r="B24" s="11"/>
      <c r="C24" s="12" t="s">
        <v>67</v>
      </c>
      <c r="D24" s="11" t="s">
        <v>68</v>
      </c>
      <c r="E24" s="11" t="s">
        <v>69</v>
      </c>
      <c r="F24" s="11" t="s">
        <v>83</v>
      </c>
    </row>
    <row r="25" spans="1:6" x14ac:dyDescent="0.25">
      <c r="A25" s="10" t="s">
        <v>217</v>
      </c>
      <c r="B25" s="14" t="s">
        <v>70</v>
      </c>
      <c r="C25" s="15">
        <v>240</v>
      </c>
      <c r="D25" s="15">
        <v>550</v>
      </c>
      <c r="E25" s="15">
        <v>110</v>
      </c>
      <c r="F25" s="15">
        <v>7</v>
      </c>
    </row>
    <row r="26" spans="1:6" x14ac:dyDescent="0.25">
      <c r="A26" s="10" t="s">
        <v>71</v>
      </c>
      <c r="B26" s="11" t="s">
        <v>70</v>
      </c>
      <c r="C26" s="15">
        <v>440</v>
      </c>
      <c r="D26" s="15">
        <v>1200</v>
      </c>
      <c r="E26" s="21">
        <v>2150</v>
      </c>
      <c r="F26" s="15">
        <v>14</v>
      </c>
    </row>
    <row r="27" spans="1:6" x14ac:dyDescent="0.25">
      <c r="A27" s="16" t="s">
        <v>72</v>
      </c>
      <c r="B27" s="17" t="s">
        <v>73</v>
      </c>
      <c r="C27" s="18">
        <v>1392</v>
      </c>
      <c r="D27" s="16" t="s">
        <v>74</v>
      </c>
      <c r="E27" s="18">
        <v>20</v>
      </c>
    </row>
    <row r="28" spans="1:6" x14ac:dyDescent="0.25">
      <c r="A28" s="16" t="s">
        <v>84</v>
      </c>
      <c r="B28" s="17" t="s">
        <v>85</v>
      </c>
      <c r="C28" s="43">
        <v>1</v>
      </c>
    </row>
    <row r="29" spans="1:6" x14ac:dyDescent="0.25">
      <c r="A29" s="16" t="s">
        <v>245</v>
      </c>
      <c r="B29" s="17" t="s">
        <v>195</v>
      </c>
      <c r="C29" s="67">
        <f>C19</f>
        <v>14</v>
      </c>
      <c r="D29" s="10" t="s">
        <v>88</v>
      </c>
      <c r="E29" s="35">
        <v>0</v>
      </c>
    </row>
    <row r="30" spans="1:6" ht="30" x14ac:dyDescent="0.25">
      <c r="A30" s="66" t="s">
        <v>242</v>
      </c>
      <c r="B30" s="17" t="s">
        <v>196</v>
      </c>
      <c r="C30" s="43">
        <v>1462</v>
      </c>
    </row>
    <row r="31" spans="1:6" x14ac:dyDescent="0.25">
      <c r="A31" s="16" t="s">
        <v>206</v>
      </c>
      <c r="B31" s="17" t="s">
        <v>172</v>
      </c>
      <c r="C31" s="43">
        <v>138</v>
      </c>
    </row>
    <row r="32" spans="1:6" ht="30" x14ac:dyDescent="0.25">
      <c r="A32" s="66" t="s">
        <v>314</v>
      </c>
      <c r="B32" s="17" t="s">
        <v>196</v>
      </c>
      <c r="C32" s="43">
        <v>1655</v>
      </c>
      <c r="D32" s="10" t="s">
        <v>316</v>
      </c>
      <c r="E32" s="10" t="s">
        <v>317</v>
      </c>
    </row>
    <row r="33" spans="1:6" x14ac:dyDescent="0.25">
      <c r="A33" s="66" t="s">
        <v>320</v>
      </c>
      <c r="B33" s="17" t="s">
        <v>88</v>
      </c>
      <c r="C33" s="43">
        <v>45</v>
      </c>
      <c r="D33" s="10"/>
      <c r="E33" s="10"/>
    </row>
    <row r="34" spans="1:6" x14ac:dyDescent="0.25">
      <c r="A34" s="66" t="s">
        <v>319</v>
      </c>
      <c r="B34" s="17" t="s">
        <v>88</v>
      </c>
      <c r="C34" s="43">
        <v>28</v>
      </c>
      <c r="D34" s="10"/>
      <c r="E34" s="10"/>
    </row>
    <row r="35" spans="1:6" x14ac:dyDescent="0.25">
      <c r="A35" s="10" t="s">
        <v>315</v>
      </c>
      <c r="B35" s="17" t="s">
        <v>196</v>
      </c>
      <c r="C35" s="43">
        <v>774</v>
      </c>
    </row>
    <row r="36" spans="1:6" x14ac:dyDescent="0.25">
      <c r="A36" s="16" t="s">
        <v>94</v>
      </c>
      <c r="B36" s="17" t="s">
        <v>88</v>
      </c>
      <c r="C36" s="15">
        <v>45</v>
      </c>
    </row>
    <row r="37" spans="1:6" x14ac:dyDescent="0.25">
      <c r="A37" s="16" t="s">
        <v>170</v>
      </c>
      <c r="B37" s="17" t="s">
        <v>88</v>
      </c>
      <c r="C37" s="15">
        <v>60</v>
      </c>
    </row>
    <row r="38" spans="1:6" x14ac:dyDescent="0.25">
      <c r="A38" s="16" t="s">
        <v>171</v>
      </c>
      <c r="B38" s="17" t="s">
        <v>172</v>
      </c>
      <c r="C38" s="15">
        <v>14.54</v>
      </c>
    </row>
    <row r="39" spans="1:6" x14ac:dyDescent="0.25">
      <c r="A39" s="16" t="s">
        <v>243</v>
      </c>
      <c r="B39" s="17" t="s">
        <v>88</v>
      </c>
      <c r="C39" s="15">
        <v>85</v>
      </c>
    </row>
    <row r="40" spans="1:6" x14ac:dyDescent="0.25">
      <c r="A40" s="16" t="s">
        <v>182</v>
      </c>
      <c r="B40" s="17" t="s">
        <v>88</v>
      </c>
      <c r="C40" s="15">
        <v>85</v>
      </c>
    </row>
    <row r="41" spans="1:6" x14ac:dyDescent="0.25">
      <c r="A41" s="16" t="s">
        <v>183</v>
      </c>
      <c r="B41" s="17" t="s">
        <v>88</v>
      </c>
      <c r="C41" s="15">
        <v>215</v>
      </c>
    </row>
    <row r="42" spans="1:6" x14ac:dyDescent="0.25">
      <c r="A42" s="16" t="s">
        <v>184</v>
      </c>
      <c r="B42" s="17" t="s">
        <v>88</v>
      </c>
      <c r="C42" s="15">
        <v>550</v>
      </c>
    </row>
    <row r="43" spans="1:6" x14ac:dyDescent="0.25">
      <c r="A43" s="16" t="s">
        <v>329</v>
      </c>
      <c r="B43" s="17" t="s">
        <v>64</v>
      </c>
      <c r="C43" s="15">
        <v>345</v>
      </c>
      <c r="D43" s="10" t="s">
        <v>331</v>
      </c>
      <c r="E43" s="10">
        <v>8</v>
      </c>
      <c r="F43" s="10" t="s">
        <v>332</v>
      </c>
    </row>
    <row r="44" spans="1:6" x14ac:dyDescent="0.25">
      <c r="A44" s="16" t="s">
        <v>330</v>
      </c>
      <c r="B44" s="17" t="s">
        <v>64</v>
      </c>
      <c r="C44" s="15">
        <v>312</v>
      </c>
      <c r="D44" s="10" t="str">
        <f>D43</f>
        <v>1.54M2</v>
      </c>
      <c r="E44" s="10">
        <f>E43</f>
        <v>8</v>
      </c>
      <c r="F44" s="10" t="s">
        <v>332</v>
      </c>
    </row>
    <row r="45" spans="1:6" x14ac:dyDescent="0.25">
      <c r="A45" s="16" t="s">
        <v>345</v>
      </c>
      <c r="B45" s="17" t="s">
        <v>88</v>
      </c>
      <c r="C45" s="15">
        <v>6</v>
      </c>
      <c r="D45" s="10"/>
      <c r="E45" s="10"/>
      <c r="F45" s="10"/>
    </row>
    <row r="46" spans="1:6" x14ac:dyDescent="0.25">
      <c r="A46" s="16" t="s">
        <v>344</v>
      </c>
      <c r="B46" s="17" t="s">
        <v>88</v>
      </c>
      <c r="C46" s="15">
        <v>30</v>
      </c>
      <c r="D46" s="10"/>
      <c r="E46" s="10"/>
      <c r="F46" s="10"/>
    </row>
    <row r="47" spans="1:6" x14ac:dyDescent="0.25">
      <c r="A47" s="16" t="s">
        <v>343</v>
      </c>
      <c r="B47" s="17" t="s">
        <v>88</v>
      </c>
      <c r="C47" s="15">
        <v>15</v>
      </c>
      <c r="D47" s="10"/>
      <c r="E47" s="10"/>
      <c r="F47" s="10"/>
    </row>
    <row r="48" spans="1:6" x14ac:dyDescent="0.25">
      <c r="A48" s="16" t="s">
        <v>342</v>
      </c>
      <c r="B48" s="17" t="s">
        <v>88</v>
      </c>
      <c r="C48" s="15">
        <v>10</v>
      </c>
      <c r="D48" s="10"/>
      <c r="E48" s="10"/>
      <c r="F48" s="10"/>
    </row>
    <row r="49" spans="1:6" x14ac:dyDescent="0.25">
      <c r="A49" s="16" t="s">
        <v>340</v>
      </c>
      <c r="B49" s="17" t="s">
        <v>341</v>
      </c>
      <c r="C49" s="15">
        <v>160</v>
      </c>
    </row>
    <row r="50" spans="1:6" ht="18.75" x14ac:dyDescent="0.4">
      <c r="A50" s="164" t="s">
        <v>100</v>
      </c>
      <c r="B50" s="164"/>
      <c r="C50" s="164"/>
      <c r="D50" s="164"/>
      <c r="E50" s="164"/>
      <c r="F50" s="164"/>
    </row>
    <row r="51" spans="1:6" s="28" customFormat="1" ht="18.75" x14ac:dyDescent="0.4">
      <c r="A51" s="29" t="s">
        <v>102</v>
      </c>
      <c r="B51" s="29" t="s">
        <v>38</v>
      </c>
      <c r="C51" s="27"/>
      <c r="D51" s="27"/>
      <c r="E51" s="27"/>
      <c r="F51" s="29" t="s">
        <v>103</v>
      </c>
    </row>
    <row r="52" spans="1:6" ht="30" x14ac:dyDescent="0.25">
      <c r="A52" s="25" t="s">
        <v>101</v>
      </c>
      <c r="B52" s="30">
        <v>1899</v>
      </c>
      <c r="F52" s="26" t="s">
        <v>104</v>
      </c>
    </row>
    <row r="53" spans="1:6" ht="45" x14ac:dyDescent="0.25">
      <c r="A53" s="26" t="s">
        <v>105</v>
      </c>
      <c r="B53" s="30">
        <v>949</v>
      </c>
      <c r="F53" s="26" t="s">
        <v>104</v>
      </c>
    </row>
    <row r="54" spans="1:6" ht="45" x14ac:dyDescent="0.25">
      <c r="A54" s="31" t="s">
        <v>106</v>
      </c>
      <c r="B54" s="30">
        <v>7999</v>
      </c>
      <c r="F54" s="26" t="s">
        <v>104</v>
      </c>
    </row>
    <row r="55" spans="1:6" ht="30" x14ac:dyDescent="0.25">
      <c r="A55" s="32" t="s">
        <v>109</v>
      </c>
      <c r="B55" s="30">
        <v>1600</v>
      </c>
    </row>
    <row r="56" spans="1:6" x14ac:dyDescent="0.25">
      <c r="A56" s="26" t="s">
        <v>110</v>
      </c>
      <c r="B56" s="30">
        <v>2986</v>
      </c>
    </row>
    <row r="57" spans="1:6" ht="45" x14ac:dyDescent="0.25">
      <c r="A57" s="26" t="s">
        <v>117</v>
      </c>
      <c r="B57" s="30">
        <v>1779</v>
      </c>
      <c r="F57" s="26" t="s">
        <v>104</v>
      </c>
    </row>
    <row r="58" spans="1:6" x14ac:dyDescent="0.25">
      <c r="A58" s="26" t="s">
        <v>228</v>
      </c>
      <c r="B58" s="30">
        <v>5000</v>
      </c>
      <c r="F58" s="26"/>
    </row>
    <row r="59" spans="1:6" ht="30" x14ac:dyDescent="0.25">
      <c r="A59" s="26" t="s">
        <v>120</v>
      </c>
      <c r="B59" s="30">
        <v>280</v>
      </c>
      <c r="F59" s="26" t="s">
        <v>104</v>
      </c>
    </row>
    <row r="60" spans="1:6" ht="30" x14ac:dyDescent="0.25">
      <c r="A60" s="26" t="s">
        <v>118</v>
      </c>
      <c r="B60" s="30">
        <v>1000</v>
      </c>
    </row>
    <row r="61" spans="1:6" ht="30" x14ac:dyDescent="0.25">
      <c r="A61" s="26" t="s">
        <v>119</v>
      </c>
      <c r="B61" s="30">
        <v>850</v>
      </c>
    </row>
    <row r="62" spans="1:6" x14ac:dyDescent="0.25">
      <c r="A62" s="26" t="s">
        <v>306</v>
      </c>
      <c r="B62" s="30">
        <v>175</v>
      </c>
    </row>
    <row r="64" spans="1:6" ht="18.75" x14ac:dyDescent="0.4">
      <c r="A64" s="164" t="s">
        <v>168</v>
      </c>
      <c r="B64" s="164"/>
      <c r="C64" s="164"/>
      <c r="D64" s="164"/>
      <c r="E64" s="164"/>
      <c r="F64" s="164"/>
    </row>
    <row r="65" spans="1:5" x14ac:dyDescent="0.25">
      <c r="A65" s="10" t="s">
        <v>142</v>
      </c>
      <c r="B65" s="10"/>
      <c r="C65" s="10"/>
      <c r="D65" s="10"/>
    </row>
    <row r="66" spans="1:5" x14ac:dyDescent="0.25">
      <c r="A66" s="10"/>
      <c r="B66" s="10"/>
      <c r="C66" s="10"/>
      <c r="D66" s="10"/>
    </row>
    <row r="67" spans="1:5" x14ac:dyDescent="0.25">
      <c r="A67" s="10" t="s">
        <v>102</v>
      </c>
      <c r="B67" s="10" t="s">
        <v>143</v>
      </c>
      <c r="C67" s="10" t="s">
        <v>39</v>
      </c>
      <c r="D67" s="10" t="s">
        <v>144</v>
      </c>
      <c r="E67" s="10" t="s">
        <v>145</v>
      </c>
    </row>
    <row r="68" spans="1:5" x14ac:dyDescent="0.25">
      <c r="A68" s="10"/>
      <c r="B68" s="10"/>
      <c r="D68" s="10"/>
      <c r="E68" s="10"/>
    </row>
    <row r="69" spans="1:5" x14ac:dyDescent="0.25">
      <c r="A69" s="10" t="s">
        <v>146</v>
      </c>
      <c r="B69" s="10">
        <v>10</v>
      </c>
      <c r="C69" s="10" t="s">
        <v>173</v>
      </c>
      <c r="D69" s="15">
        <v>16.5</v>
      </c>
      <c r="E69" s="15">
        <f>D69*10</f>
        <v>165</v>
      </c>
    </row>
    <row r="70" spans="1:5" x14ac:dyDescent="0.25">
      <c r="A70" s="10" t="s">
        <v>147</v>
      </c>
      <c r="B70" s="10">
        <v>1</v>
      </c>
      <c r="C70" s="10" t="s">
        <v>88</v>
      </c>
      <c r="D70" s="15">
        <v>98</v>
      </c>
      <c r="E70" s="15">
        <f>D70</f>
        <v>98</v>
      </c>
    </row>
    <row r="71" spans="1:5" x14ac:dyDescent="0.25">
      <c r="A71" s="10" t="s">
        <v>148</v>
      </c>
      <c r="B71" s="10">
        <v>1</v>
      </c>
      <c r="C71" s="10" t="s">
        <v>88</v>
      </c>
      <c r="D71" s="15">
        <v>127</v>
      </c>
      <c r="E71" s="15">
        <f t="shared" ref="E71:E79" si="0">D71</f>
        <v>127</v>
      </c>
    </row>
    <row r="72" spans="1:5" x14ac:dyDescent="0.25">
      <c r="A72" s="10" t="s">
        <v>149</v>
      </c>
      <c r="B72" s="10">
        <v>1</v>
      </c>
      <c r="C72" s="10" t="s">
        <v>88</v>
      </c>
      <c r="D72" s="15">
        <v>17</v>
      </c>
      <c r="E72" s="15">
        <f t="shared" si="0"/>
        <v>17</v>
      </c>
    </row>
    <row r="73" spans="1:5" x14ac:dyDescent="0.25">
      <c r="A73" s="10" t="s">
        <v>150</v>
      </c>
      <c r="B73" s="10">
        <v>1</v>
      </c>
      <c r="C73" s="10" t="s">
        <v>88</v>
      </c>
      <c r="D73" s="15">
        <v>39</v>
      </c>
      <c r="E73" s="15">
        <f t="shared" si="0"/>
        <v>39</v>
      </c>
    </row>
    <row r="74" spans="1:5" x14ac:dyDescent="0.25">
      <c r="A74" s="10" t="s">
        <v>151</v>
      </c>
      <c r="B74" s="10">
        <v>1</v>
      </c>
      <c r="C74" s="10" t="s">
        <v>88</v>
      </c>
      <c r="D74" s="15">
        <v>57</v>
      </c>
      <c r="E74" s="15">
        <f t="shared" si="0"/>
        <v>57</v>
      </c>
    </row>
    <row r="75" spans="1:5" x14ac:dyDescent="0.25">
      <c r="A75" s="10" t="s">
        <v>152</v>
      </c>
      <c r="B75" s="10">
        <v>1</v>
      </c>
      <c r="C75" s="10" t="s">
        <v>88</v>
      </c>
      <c r="D75" s="15">
        <v>9</v>
      </c>
      <c r="E75" s="15">
        <f t="shared" si="0"/>
        <v>9</v>
      </c>
    </row>
    <row r="76" spans="1:5" x14ac:dyDescent="0.25">
      <c r="A76" s="10" t="s">
        <v>153</v>
      </c>
      <c r="B76" s="10">
        <v>1</v>
      </c>
      <c r="C76" s="10" t="s">
        <v>88</v>
      </c>
      <c r="D76" s="15">
        <v>130</v>
      </c>
      <c r="E76" s="15">
        <f t="shared" si="0"/>
        <v>130</v>
      </c>
    </row>
    <row r="77" spans="1:5" x14ac:dyDescent="0.25">
      <c r="A77" s="10" t="s">
        <v>154</v>
      </c>
      <c r="B77" s="10">
        <v>1</v>
      </c>
      <c r="C77" s="10" t="s">
        <v>88</v>
      </c>
      <c r="D77" s="15">
        <v>72</v>
      </c>
      <c r="E77" s="15">
        <f t="shared" si="0"/>
        <v>72</v>
      </c>
    </row>
    <row r="78" spans="1:5" x14ac:dyDescent="0.25">
      <c r="A78" s="10" t="s">
        <v>155</v>
      </c>
      <c r="B78" s="10">
        <v>1</v>
      </c>
      <c r="C78" s="10" t="s">
        <v>88</v>
      </c>
      <c r="D78" s="15">
        <v>98</v>
      </c>
      <c r="E78" s="15">
        <f t="shared" si="0"/>
        <v>98</v>
      </c>
    </row>
    <row r="79" spans="1:5" x14ac:dyDescent="0.25">
      <c r="A79" s="10" t="s">
        <v>156</v>
      </c>
      <c r="B79" s="10">
        <v>1</v>
      </c>
      <c r="C79" s="10" t="s">
        <v>88</v>
      </c>
      <c r="D79" s="15">
        <v>114</v>
      </c>
      <c r="E79" s="15">
        <f t="shared" si="0"/>
        <v>114</v>
      </c>
    </row>
    <row r="80" spans="1:5" x14ac:dyDescent="0.25">
      <c r="A80" s="10"/>
      <c r="B80" s="10"/>
      <c r="D80" s="10"/>
      <c r="E80" s="10"/>
    </row>
    <row r="81" spans="1:6" x14ac:dyDescent="0.25">
      <c r="A81" s="10" t="s">
        <v>157</v>
      </c>
      <c r="B81" s="10"/>
      <c r="D81" s="10"/>
      <c r="E81" s="10"/>
    </row>
    <row r="82" spans="1:6" x14ac:dyDescent="0.25">
      <c r="A82" s="10"/>
      <c r="B82" s="10"/>
      <c r="D82" s="10"/>
      <c r="E82" s="10"/>
    </row>
    <row r="83" spans="1:6" x14ac:dyDescent="0.25">
      <c r="A83" s="10" t="s">
        <v>158</v>
      </c>
      <c r="B83" s="10">
        <v>1</v>
      </c>
      <c r="C83" s="10" t="s">
        <v>88</v>
      </c>
      <c r="D83" s="15">
        <v>115</v>
      </c>
      <c r="E83" s="10"/>
    </row>
    <row r="84" spans="1:6" x14ac:dyDescent="0.25">
      <c r="A84" s="10" t="s">
        <v>159</v>
      </c>
      <c r="B84" s="10">
        <v>1</v>
      </c>
      <c r="C84" s="10" t="s">
        <v>88</v>
      </c>
      <c r="D84" s="15">
        <v>146</v>
      </c>
      <c r="E84" s="10"/>
    </row>
    <row r="85" spans="1:6" x14ac:dyDescent="0.25">
      <c r="A85" s="10" t="s">
        <v>160</v>
      </c>
      <c r="B85" s="10">
        <v>1</v>
      </c>
      <c r="C85" s="10" t="s">
        <v>88</v>
      </c>
      <c r="D85" s="15">
        <v>158</v>
      </c>
      <c r="E85" s="10"/>
    </row>
    <row r="86" spans="1:6" x14ac:dyDescent="0.25">
      <c r="A86" s="10" t="s">
        <v>161</v>
      </c>
      <c r="B86" s="10">
        <v>1</v>
      </c>
      <c r="C86" s="10" t="s">
        <v>88</v>
      </c>
      <c r="D86" s="15">
        <v>151</v>
      </c>
      <c r="E86" s="10"/>
    </row>
    <row r="87" spans="1:6" x14ac:dyDescent="0.25">
      <c r="A87" s="10" t="s">
        <v>162</v>
      </c>
      <c r="B87" s="10">
        <v>1</v>
      </c>
      <c r="C87" s="10" t="s">
        <v>174</v>
      </c>
      <c r="D87" s="15">
        <v>60</v>
      </c>
      <c r="E87" s="10"/>
    </row>
    <row r="88" spans="1:6" x14ac:dyDescent="0.25">
      <c r="A88" s="10" t="s">
        <v>163</v>
      </c>
      <c r="B88" s="10">
        <v>1</v>
      </c>
      <c r="C88" s="10" t="s">
        <v>88</v>
      </c>
      <c r="D88" s="15">
        <v>63</v>
      </c>
      <c r="E88" s="10"/>
    </row>
    <row r="89" spans="1:6" x14ac:dyDescent="0.25">
      <c r="A89" s="10" t="s">
        <v>164</v>
      </c>
      <c r="B89" s="10">
        <v>1</v>
      </c>
      <c r="C89" s="10" t="s">
        <v>88</v>
      </c>
      <c r="D89" s="15">
        <v>78</v>
      </c>
      <c r="E89" s="10"/>
    </row>
    <row r="90" spans="1:6" x14ac:dyDescent="0.25">
      <c r="A90" s="10" t="s">
        <v>165</v>
      </c>
      <c r="B90" s="10">
        <v>1</v>
      </c>
      <c r="C90" s="10" t="s">
        <v>179</v>
      </c>
      <c r="D90" s="15">
        <v>92</v>
      </c>
      <c r="E90" s="10"/>
    </row>
    <row r="91" spans="1:6" x14ac:dyDescent="0.25">
      <c r="A91" s="10" t="s">
        <v>166</v>
      </c>
      <c r="B91" s="10">
        <v>1</v>
      </c>
      <c r="C91" s="10" t="s">
        <v>175</v>
      </c>
      <c r="D91" s="15">
        <v>65</v>
      </c>
      <c r="E91" s="10"/>
    </row>
    <row r="92" spans="1:6" x14ac:dyDescent="0.25">
      <c r="A92" s="10" t="s">
        <v>167</v>
      </c>
      <c r="B92" s="10">
        <v>1</v>
      </c>
      <c r="C92" s="10" t="s">
        <v>175</v>
      </c>
      <c r="D92" s="15">
        <v>50</v>
      </c>
      <c r="E92" s="10"/>
    </row>
    <row r="95" spans="1:6" ht="18.75" x14ac:dyDescent="0.4">
      <c r="A95" s="164" t="s">
        <v>296</v>
      </c>
      <c r="B95" s="164"/>
      <c r="C95" s="164"/>
      <c r="D95" s="164"/>
      <c r="E95" s="164"/>
      <c r="F95" s="164"/>
    </row>
    <row r="96" spans="1:6" x14ac:dyDescent="0.25">
      <c r="A96" s="10" t="s">
        <v>248</v>
      </c>
      <c r="B96" s="10" t="s">
        <v>249</v>
      </c>
      <c r="C96" s="10" t="s">
        <v>144</v>
      </c>
      <c r="D96" s="10"/>
      <c r="E96" s="10"/>
      <c r="F96" s="10"/>
    </row>
    <row r="97" spans="1:12" x14ac:dyDescent="0.25">
      <c r="A97" s="10" t="s">
        <v>250</v>
      </c>
      <c r="B97" s="10" t="s">
        <v>251</v>
      </c>
      <c r="C97" s="56">
        <v>348</v>
      </c>
      <c r="D97" s="10" t="s">
        <v>252</v>
      </c>
      <c r="E97" s="56">
        <v>273</v>
      </c>
      <c r="F97" s="10" t="s">
        <v>253</v>
      </c>
    </row>
    <row r="98" spans="1:12" x14ac:dyDescent="0.25">
      <c r="A98" s="10"/>
      <c r="B98" s="10" t="s">
        <v>254</v>
      </c>
      <c r="C98" s="56">
        <v>518</v>
      </c>
      <c r="D98" s="10" t="s">
        <v>252</v>
      </c>
      <c r="E98" s="56">
        <v>367</v>
      </c>
      <c r="F98" s="10" t="s">
        <v>253</v>
      </c>
    </row>
    <row r="99" spans="1:12" x14ac:dyDescent="0.25">
      <c r="A99" s="10" t="s">
        <v>255</v>
      </c>
      <c r="B99" s="10" t="s">
        <v>251</v>
      </c>
      <c r="C99" s="56">
        <v>6</v>
      </c>
      <c r="D99" s="10" t="s">
        <v>256</v>
      </c>
      <c r="E99" s="56">
        <v>8</v>
      </c>
      <c r="F99" s="10" t="s">
        <v>257</v>
      </c>
    </row>
    <row r="100" spans="1:12" x14ac:dyDescent="0.25">
      <c r="A100" s="10"/>
      <c r="B100" s="10" t="s">
        <v>254</v>
      </c>
      <c r="C100" s="56">
        <v>12</v>
      </c>
      <c r="D100" s="10" t="s">
        <v>256</v>
      </c>
      <c r="E100" s="56">
        <v>18</v>
      </c>
      <c r="F100" s="10" t="s">
        <v>257</v>
      </c>
    </row>
    <row r="101" spans="1:12" x14ac:dyDescent="0.25">
      <c r="A101" s="10" t="s">
        <v>258</v>
      </c>
      <c r="B101" s="10" t="s">
        <v>251</v>
      </c>
      <c r="C101" s="56">
        <v>9</v>
      </c>
      <c r="D101" s="10"/>
      <c r="E101" s="10"/>
      <c r="F101" s="10"/>
    </row>
    <row r="102" spans="1:12" x14ac:dyDescent="0.25">
      <c r="A102" s="10"/>
      <c r="B102" s="10" t="s">
        <v>254</v>
      </c>
      <c r="C102" s="56">
        <v>19</v>
      </c>
      <c r="D102" s="10"/>
      <c r="E102" s="10"/>
      <c r="F102" s="10"/>
      <c r="J102" s="19"/>
      <c r="L102" s="19"/>
    </row>
    <row r="103" spans="1:12" x14ac:dyDescent="0.25">
      <c r="A103" s="10" t="s">
        <v>259</v>
      </c>
      <c r="B103" s="10" t="s">
        <v>251</v>
      </c>
      <c r="C103" s="56">
        <v>5</v>
      </c>
      <c r="D103" s="10"/>
      <c r="E103" s="10"/>
      <c r="F103" s="10"/>
      <c r="J103" s="19"/>
      <c r="L103" s="19"/>
    </row>
    <row r="104" spans="1:12" x14ac:dyDescent="0.25">
      <c r="A104" s="10"/>
      <c r="B104" s="10" t="s">
        <v>254</v>
      </c>
      <c r="C104" s="56">
        <v>8</v>
      </c>
      <c r="D104" s="10"/>
      <c r="E104" s="10"/>
      <c r="F104" s="10"/>
      <c r="J104" s="19"/>
      <c r="L104" s="19"/>
    </row>
    <row r="105" spans="1:12" x14ac:dyDescent="0.25">
      <c r="A105" s="10" t="s">
        <v>260</v>
      </c>
      <c r="B105" s="10" t="s">
        <v>251</v>
      </c>
      <c r="C105" s="56">
        <v>11</v>
      </c>
      <c r="D105" s="10"/>
      <c r="E105" s="10"/>
      <c r="F105" s="10"/>
      <c r="J105" s="19"/>
      <c r="L105" s="19"/>
    </row>
    <row r="106" spans="1:12" x14ac:dyDescent="0.25">
      <c r="A106" s="10"/>
      <c r="B106" s="10" t="s">
        <v>254</v>
      </c>
      <c r="C106" s="56">
        <v>15</v>
      </c>
      <c r="D106" s="10"/>
      <c r="E106" s="10"/>
      <c r="F106" s="10"/>
      <c r="J106" s="19"/>
      <c r="L106" s="19"/>
    </row>
    <row r="107" spans="1:12" x14ac:dyDescent="0.25">
      <c r="A107" s="10" t="s">
        <v>303</v>
      </c>
      <c r="B107" s="10" t="s">
        <v>21</v>
      </c>
      <c r="C107" s="56">
        <v>27</v>
      </c>
      <c r="D107" s="10"/>
      <c r="E107" s="10"/>
      <c r="F107" s="10"/>
    </row>
    <row r="108" spans="1:12" x14ac:dyDescent="0.25">
      <c r="A108" s="10"/>
      <c r="B108" s="10" t="s">
        <v>262</v>
      </c>
      <c r="C108" s="56">
        <v>175</v>
      </c>
      <c r="D108" s="10"/>
      <c r="E108" s="10"/>
      <c r="F108" s="10"/>
    </row>
    <row r="109" spans="1:12" x14ac:dyDescent="0.25">
      <c r="A109" s="10" t="s">
        <v>302</v>
      </c>
      <c r="B109" s="10"/>
      <c r="C109" s="56">
        <v>17</v>
      </c>
      <c r="D109" s="10" t="s">
        <v>263</v>
      </c>
      <c r="E109" s="56">
        <v>36</v>
      </c>
      <c r="F109" s="10" t="s">
        <v>264</v>
      </c>
    </row>
    <row r="110" spans="1:12" x14ac:dyDescent="0.25">
      <c r="A110" s="10" t="s">
        <v>300</v>
      </c>
      <c r="B110" s="10" t="s">
        <v>261</v>
      </c>
      <c r="C110" s="56">
        <v>10</v>
      </c>
      <c r="D110" s="10"/>
      <c r="E110" s="10"/>
      <c r="F110" s="10"/>
    </row>
    <row r="111" spans="1:12" x14ac:dyDescent="0.25">
      <c r="A111" s="10" t="s">
        <v>265</v>
      </c>
      <c r="B111" s="10"/>
      <c r="C111" s="56">
        <v>45</v>
      </c>
      <c r="D111" s="10" t="s">
        <v>266</v>
      </c>
      <c r="E111" s="56">
        <v>32</v>
      </c>
      <c r="F111" s="10" t="s">
        <v>267</v>
      </c>
    </row>
    <row r="112" spans="1:12" x14ac:dyDescent="0.25">
      <c r="A112" s="10" t="s">
        <v>268</v>
      </c>
      <c r="B112" s="10"/>
      <c r="C112" s="56">
        <v>1719</v>
      </c>
      <c r="D112" s="10" t="s">
        <v>269</v>
      </c>
      <c r="E112" s="56">
        <v>1600</v>
      </c>
      <c r="F112" s="10" t="s">
        <v>270</v>
      </c>
    </row>
    <row r="113" spans="1:6" x14ac:dyDescent="0.25">
      <c r="A113" s="10" t="s">
        <v>301</v>
      </c>
      <c r="B113" s="10"/>
      <c r="C113" s="56">
        <v>2986</v>
      </c>
      <c r="D113" s="10" t="s">
        <v>271</v>
      </c>
      <c r="E113" s="10"/>
      <c r="F113" s="10"/>
    </row>
    <row r="118" spans="1:6" ht="18.75" x14ac:dyDescent="0.4">
      <c r="A118" s="164" t="s">
        <v>202</v>
      </c>
      <c r="B118" s="164"/>
      <c r="C118" s="164"/>
      <c r="D118" s="164"/>
      <c r="E118" s="164"/>
      <c r="F118" s="164"/>
    </row>
    <row r="119" spans="1:6" x14ac:dyDescent="0.25">
      <c r="A119" s="10" t="s">
        <v>383</v>
      </c>
      <c r="B119" s="10"/>
      <c r="C119" s="56">
        <v>5</v>
      </c>
      <c r="D119" s="10"/>
      <c r="E119" s="10"/>
      <c r="F119" s="10"/>
    </row>
    <row r="120" spans="1:6" x14ac:dyDescent="0.25">
      <c r="A120" s="10" t="s">
        <v>384</v>
      </c>
      <c r="B120" s="10" t="s">
        <v>251</v>
      </c>
      <c r="C120" s="56">
        <v>5</v>
      </c>
      <c r="D120" s="10"/>
      <c r="E120" s="10"/>
      <c r="F120" s="10"/>
    </row>
    <row r="121" spans="1:6" x14ac:dyDescent="0.25">
      <c r="A121" s="10" t="s">
        <v>385</v>
      </c>
      <c r="B121" s="10" t="s">
        <v>254</v>
      </c>
      <c r="C121" s="56">
        <v>9</v>
      </c>
      <c r="D121" s="10"/>
      <c r="E121" s="10"/>
      <c r="F121" s="10"/>
    </row>
    <row r="122" spans="1:6" x14ac:dyDescent="0.25">
      <c r="A122" s="10" t="s">
        <v>272</v>
      </c>
      <c r="B122" s="10"/>
      <c r="C122" s="56">
        <v>12</v>
      </c>
      <c r="D122" s="10" t="s">
        <v>273</v>
      </c>
      <c r="E122" s="56">
        <v>15</v>
      </c>
      <c r="F122" s="10" t="s">
        <v>274</v>
      </c>
    </row>
    <row r="123" spans="1:6" x14ac:dyDescent="0.25">
      <c r="A123" s="10" t="s">
        <v>386</v>
      </c>
      <c r="B123" s="10" t="s">
        <v>275</v>
      </c>
      <c r="C123" s="56">
        <v>25</v>
      </c>
      <c r="D123" s="10"/>
      <c r="E123" s="10"/>
      <c r="F123" s="10"/>
    </row>
    <row r="124" spans="1:6" x14ac:dyDescent="0.25">
      <c r="A124" s="10" t="s">
        <v>387</v>
      </c>
      <c r="B124" s="10" t="s">
        <v>276</v>
      </c>
      <c r="C124" s="56">
        <v>27</v>
      </c>
      <c r="D124" s="10"/>
      <c r="E124" s="10"/>
      <c r="F124" s="10"/>
    </row>
    <row r="125" spans="1:6" x14ac:dyDescent="0.25">
      <c r="A125" s="10" t="s">
        <v>388</v>
      </c>
      <c r="B125" s="10" t="s">
        <v>277</v>
      </c>
      <c r="C125" s="56">
        <v>31</v>
      </c>
      <c r="D125" s="10"/>
      <c r="E125" s="10"/>
      <c r="F125" s="10"/>
    </row>
    <row r="126" spans="1:6" x14ac:dyDescent="0.25">
      <c r="A126" s="10" t="s">
        <v>382</v>
      </c>
      <c r="B126" s="10" t="s">
        <v>278</v>
      </c>
      <c r="C126" s="56">
        <v>29</v>
      </c>
      <c r="D126" s="10"/>
      <c r="E126" s="10"/>
      <c r="F126" s="10"/>
    </row>
    <row r="127" spans="1:6" x14ac:dyDescent="0.25">
      <c r="A127" s="10"/>
      <c r="B127" s="10" t="s">
        <v>279</v>
      </c>
      <c r="C127" s="56">
        <v>31</v>
      </c>
      <c r="D127" s="10"/>
      <c r="E127" s="10"/>
      <c r="F127" s="10"/>
    </row>
    <row r="128" spans="1:6" x14ac:dyDescent="0.25">
      <c r="A128" s="10" t="s">
        <v>381</v>
      </c>
      <c r="B128" s="10" t="s">
        <v>278</v>
      </c>
      <c r="C128" s="56">
        <v>25</v>
      </c>
      <c r="D128" s="10"/>
      <c r="E128" s="10"/>
      <c r="F128" s="10"/>
    </row>
    <row r="129" spans="1:8" x14ac:dyDescent="0.25">
      <c r="A129" s="10"/>
      <c r="B129" s="10" t="s">
        <v>280</v>
      </c>
      <c r="C129" s="56">
        <v>29</v>
      </c>
      <c r="D129" s="10"/>
      <c r="E129" s="10"/>
      <c r="F129" s="10"/>
    </row>
    <row r="130" spans="1:8" x14ac:dyDescent="0.25">
      <c r="A130" s="10" t="s">
        <v>379</v>
      </c>
      <c r="B130" s="10" t="s">
        <v>251</v>
      </c>
      <c r="C130" s="56">
        <v>466</v>
      </c>
      <c r="D130" s="10" t="s">
        <v>281</v>
      </c>
      <c r="E130" s="56">
        <f>C130/100</f>
        <v>4.66</v>
      </c>
      <c r="F130" s="10"/>
    </row>
    <row r="131" spans="1:8" x14ac:dyDescent="0.25">
      <c r="A131" s="10" t="s">
        <v>380</v>
      </c>
      <c r="B131" s="10" t="s">
        <v>254</v>
      </c>
      <c r="C131" s="56">
        <v>450</v>
      </c>
      <c r="D131" s="10" t="s">
        <v>282</v>
      </c>
      <c r="E131" s="56">
        <f>C131/50</f>
        <v>9</v>
      </c>
      <c r="F131" s="10"/>
    </row>
    <row r="132" spans="1:8" x14ac:dyDescent="0.25">
      <c r="A132" s="10" t="s">
        <v>376</v>
      </c>
      <c r="B132" s="10" t="s">
        <v>283</v>
      </c>
      <c r="C132" s="56">
        <v>1463</v>
      </c>
      <c r="D132" s="10" t="s">
        <v>284</v>
      </c>
      <c r="E132" s="56">
        <v>997</v>
      </c>
      <c r="F132" s="10" t="s">
        <v>285</v>
      </c>
      <c r="G132" s="56" t="s">
        <v>374</v>
      </c>
      <c r="H132" s="56">
        <f>C132/100</f>
        <v>14.63</v>
      </c>
    </row>
    <row r="133" spans="1:8" x14ac:dyDescent="0.25">
      <c r="A133" s="10" t="s">
        <v>377</v>
      </c>
      <c r="B133" s="10" t="s">
        <v>286</v>
      </c>
      <c r="C133" s="56">
        <v>958</v>
      </c>
      <c r="D133" s="10" t="s">
        <v>284</v>
      </c>
      <c r="E133" s="56">
        <v>598</v>
      </c>
      <c r="F133" s="10" t="s">
        <v>285</v>
      </c>
    </row>
    <row r="134" spans="1:8" x14ac:dyDescent="0.25">
      <c r="A134" s="10" t="s">
        <v>378</v>
      </c>
      <c r="B134" s="10" t="s">
        <v>287</v>
      </c>
      <c r="C134" s="56">
        <v>603</v>
      </c>
      <c r="D134" s="10" t="s">
        <v>284</v>
      </c>
      <c r="E134" s="56">
        <v>407</v>
      </c>
      <c r="F134" s="10" t="s">
        <v>285</v>
      </c>
      <c r="G134" s="56" t="s">
        <v>374</v>
      </c>
      <c r="H134" s="56">
        <f>C134/100</f>
        <v>6.03</v>
      </c>
    </row>
    <row r="135" spans="1:8" x14ac:dyDescent="0.25">
      <c r="A135" s="10" t="s">
        <v>288</v>
      </c>
      <c r="B135" s="10" t="s">
        <v>289</v>
      </c>
      <c r="C135" s="56">
        <v>87</v>
      </c>
      <c r="D135" s="10"/>
      <c r="E135" s="10"/>
      <c r="F135" s="10"/>
    </row>
    <row r="136" spans="1:8" x14ac:dyDescent="0.25">
      <c r="A136" s="10"/>
      <c r="B136" s="10" t="s">
        <v>290</v>
      </c>
      <c r="C136" s="56">
        <v>198</v>
      </c>
      <c r="D136" s="10"/>
      <c r="E136" s="10"/>
      <c r="F136" s="10"/>
    </row>
    <row r="137" spans="1:8" x14ac:dyDescent="0.25">
      <c r="A137" s="10" t="s">
        <v>291</v>
      </c>
      <c r="B137" s="10" t="s">
        <v>289</v>
      </c>
      <c r="C137" s="56">
        <v>6</v>
      </c>
      <c r="D137" s="10"/>
      <c r="E137" s="10"/>
      <c r="F137" s="10"/>
    </row>
    <row r="138" spans="1:8" x14ac:dyDescent="0.25">
      <c r="A138" s="10"/>
      <c r="B138" s="10" t="s">
        <v>290</v>
      </c>
      <c r="C138" s="56">
        <v>13</v>
      </c>
      <c r="D138" s="10"/>
      <c r="E138" s="10"/>
      <c r="F138" s="10"/>
    </row>
    <row r="139" spans="1:8" x14ac:dyDescent="0.25">
      <c r="A139" s="10" t="s">
        <v>292</v>
      </c>
      <c r="B139" s="10" t="s">
        <v>289</v>
      </c>
      <c r="C139" s="56">
        <v>4</v>
      </c>
      <c r="D139" s="10"/>
      <c r="E139" s="10"/>
      <c r="F139" s="10"/>
    </row>
    <row r="140" spans="1:8" x14ac:dyDescent="0.25">
      <c r="A140" s="10"/>
      <c r="B140" s="10" t="s">
        <v>290</v>
      </c>
      <c r="C140" s="56">
        <v>9</v>
      </c>
      <c r="D140" s="10"/>
      <c r="E140" s="10"/>
      <c r="F140" s="10"/>
    </row>
    <row r="141" spans="1:8" x14ac:dyDescent="0.25">
      <c r="A141" s="10" t="s">
        <v>293</v>
      </c>
      <c r="B141" s="10" t="s">
        <v>294</v>
      </c>
      <c r="C141" s="56">
        <v>17</v>
      </c>
      <c r="D141" s="10"/>
      <c r="E141" s="10"/>
      <c r="F141" s="10"/>
    </row>
    <row r="142" spans="1:8" x14ac:dyDescent="0.25">
      <c r="A142" s="10"/>
      <c r="B142" s="10" t="s">
        <v>295</v>
      </c>
      <c r="C142" s="56">
        <v>26</v>
      </c>
      <c r="D142" s="10"/>
      <c r="E142" s="10"/>
      <c r="F142" s="10"/>
    </row>
    <row r="143" spans="1:8" x14ac:dyDescent="0.25">
      <c r="A143" s="10"/>
      <c r="B143" s="10" t="s">
        <v>251</v>
      </c>
      <c r="C143" s="56">
        <v>79</v>
      </c>
      <c r="D143" s="10"/>
      <c r="E143" s="10"/>
      <c r="F143" s="10"/>
    </row>
    <row r="144" spans="1:8" x14ac:dyDescent="0.25">
      <c r="A144" s="10" t="s">
        <v>375</v>
      </c>
      <c r="C144" s="56">
        <v>12</v>
      </c>
    </row>
    <row r="163" spans="4:4" x14ac:dyDescent="0.25">
      <c r="D163" t="e">
        <f>Materiales!A45t</f>
        <v>#NAME?</v>
      </c>
    </row>
  </sheetData>
  <mergeCells count="5">
    <mergeCell ref="A1:F1"/>
    <mergeCell ref="A50:F50"/>
    <mergeCell ref="A64:F64"/>
    <mergeCell ref="A95:F95"/>
    <mergeCell ref="A118:F118"/>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8"/>
  <sheetViews>
    <sheetView workbookViewId="0">
      <selection activeCell="E10" sqref="E10"/>
    </sheetView>
  </sheetViews>
  <sheetFormatPr baseColWidth="10" defaultRowHeight="15" x14ac:dyDescent="0.25"/>
  <cols>
    <col min="1" max="1" width="53.5703125" customWidth="1"/>
  </cols>
  <sheetData>
    <row r="1" spans="1:4" x14ac:dyDescent="0.25">
      <c r="A1" s="165" t="s">
        <v>132</v>
      </c>
      <c r="B1" s="165"/>
      <c r="C1" s="165"/>
      <c r="D1" s="34"/>
    </row>
    <row r="2" spans="1:4" x14ac:dyDescent="0.25">
      <c r="A2" s="2" t="s">
        <v>2</v>
      </c>
      <c r="B2" s="2" t="s">
        <v>11</v>
      </c>
      <c r="C2" s="2" t="s">
        <v>130</v>
      </c>
      <c r="D2" s="28"/>
    </row>
    <row r="3" spans="1:4" ht="17.25" x14ac:dyDescent="0.25">
      <c r="A3" s="1" t="s">
        <v>133</v>
      </c>
      <c r="B3" s="3" t="s">
        <v>131</v>
      </c>
      <c r="C3" s="35">
        <v>12</v>
      </c>
    </row>
    <row r="4" spans="1:4" x14ac:dyDescent="0.25">
      <c r="A4" t="s">
        <v>134</v>
      </c>
      <c r="B4" s="3" t="s">
        <v>15</v>
      </c>
      <c r="C4" s="35">
        <v>12</v>
      </c>
    </row>
    <row r="5" spans="1:4" ht="30" x14ac:dyDescent="0.25">
      <c r="A5" s="1" t="s">
        <v>135</v>
      </c>
      <c r="B5" s="3" t="s">
        <v>127</v>
      </c>
      <c r="C5" s="35">
        <v>300</v>
      </c>
    </row>
    <row r="6" spans="1:4" x14ac:dyDescent="0.25">
      <c r="A6" s="1" t="s">
        <v>178</v>
      </c>
      <c r="B6" s="5" t="s">
        <v>127</v>
      </c>
      <c r="C6" s="35">
        <v>300</v>
      </c>
    </row>
    <row r="7" spans="1:4" ht="45" x14ac:dyDescent="0.25">
      <c r="A7" s="7" t="s">
        <v>136</v>
      </c>
      <c r="B7" s="3" t="s">
        <v>23</v>
      </c>
      <c r="C7" s="37">
        <v>95</v>
      </c>
    </row>
    <row r="8" spans="1:4" ht="45" x14ac:dyDescent="0.25">
      <c r="A8" s="1" t="s">
        <v>137</v>
      </c>
      <c r="B8" s="3" t="s">
        <v>15</v>
      </c>
      <c r="C8" s="36">
        <v>92</v>
      </c>
    </row>
    <row r="9" spans="1:4" ht="30" x14ac:dyDescent="0.25">
      <c r="A9" s="1" t="s">
        <v>193</v>
      </c>
      <c r="B9" s="3" t="s">
        <v>139</v>
      </c>
      <c r="C9" s="36">
        <v>200</v>
      </c>
    </row>
    <row r="10" spans="1:4" ht="30" x14ac:dyDescent="0.25">
      <c r="A10" s="1" t="s">
        <v>138</v>
      </c>
      <c r="B10" s="3" t="s">
        <v>23</v>
      </c>
      <c r="C10" s="36">
        <v>56</v>
      </c>
    </row>
    <row r="11" spans="1:4" x14ac:dyDescent="0.25">
      <c r="A11" s="1" t="s">
        <v>215</v>
      </c>
      <c r="B11" s="3" t="str">
        <f>B14</f>
        <v>M²</v>
      </c>
      <c r="C11" s="36">
        <v>120</v>
      </c>
    </row>
    <row r="12" spans="1:4" ht="30" x14ac:dyDescent="0.25">
      <c r="A12" s="1" t="s">
        <v>220</v>
      </c>
      <c r="B12" s="3" t="s">
        <v>139</v>
      </c>
      <c r="C12" s="35">
        <v>85</v>
      </c>
    </row>
    <row r="13" spans="1:4" ht="30" x14ac:dyDescent="0.25">
      <c r="A13" s="1" t="s">
        <v>223</v>
      </c>
      <c r="B13" s="3" t="s">
        <v>139</v>
      </c>
      <c r="C13" s="35">
        <v>90</v>
      </c>
    </row>
    <row r="14" spans="1:4" ht="30.75" customHeight="1" x14ac:dyDescent="0.25">
      <c r="A14" s="20" t="s">
        <v>140</v>
      </c>
      <c r="B14" s="3" t="s">
        <v>15</v>
      </c>
      <c r="C14" s="38">
        <v>300</v>
      </c>
    </row>
    <row r="15" spans="1:4" ht="30" x14ac:dyDescent="0.25">
      <c r="A15" s="1" t="s">
        <v>224</v>
      </c>
      <c r="B15" s="3" t="s">
        <v>34</v>
      </c>
      <c r="C15" s="38">
        <v>500</v>
      </c>
    </row>
    <row r="16" spans="1:4" x14ac:dyDescent="0.25">
      <c r="A16" s="1" t="s">
        <v>225</v>
      </c>
      <c r="B16" s="3" t="s">
        <v>34</v>
      </c>
      <c r="C16" s="38">
        <v>600</v>
      </c>
    </row>
    <row r="17" spans="1:3" ht="30" x14ac:dyDescent="0.25">
      <c r="A17" s="1" t="s">
        <v>227</v>
      </c>
      <c r="B17" s="5" t="str">
        <f>'Generador de obra'!K236</f>
        <v>M²</v>
      </c>
      <c r="C17" s="38">
        <v>35</v>
      </c>
    </row>
    <row r="18" spans="1:3" ht="30" x14ac:dyDescent="0.25">
      <c r="A18" s="1" t="s">
        <v>231</v>
      </c>
      <c r="B18" s="5" t="str">
        <f>'Generador de obra'!K220</f>
        <v>M²</v>
      </c>
      <c r="C18" s="38">
        <v>130</v>
      </c>
    </row>
    <row r="19" spans="1:3" ht="30" x14ac:dyDescent="0.25">
      <c r="A19" s="1" t="s">
        <v>305</v>
      </c>
      <c r="B19" s="65" t="s">
        <v>191</v>
      </c>
      <c r="C19" s="38">
        <v>200</v>
      </c>
    </row>
    <row r="20" spans="1:3" ht="30" x14ac:dyDescent="0.25">
      <c r="A20" s="1" t="s">
        <v>389</v>
      </c>
      <c r="B20" s="3" t="s">
        <v>191</v>
      </c>
      <c r="C20" s="38">
        <v>400</v>
      </c>
    </row>
    <row r="21" spans="1:3" ht="30" x14ac:dyDescent="0.25">
      <c r="A21" s="1" t="s">
        <v>310</v>
      </c>
      <c r="B21" s="3" t="s">
        <v>34</v>
      </c>
      <c r="C21" s="35">
        <f>150</f>
        <v>150</v>
      </c>
    </row>
    <row r="22" spans="1:3" ht="30" x14ac:dyDescent="0.25">
      <c r="A22" s="1" t="s">
        <v>311</v>
      </c>
      <c r="B22" s="3" t="s">
        <v>34</v>
      </c>
      <c r="C22" s="35">
        <v>150</v>
      </c>
    </row>
    <row r="23" spans="1:3" ht="30" x14ac:dyDescent="0.25">
      <c r="A23" s="1" t="s">
        <v>312</v>
      </c>
      <c r="B23" s="3" t="s">
        <v>34</v>
      </c>
      <c r="C23" s="35">
        <v>200</v>
      </c>
    </row>
    <row r="24" spans="1:3" ht="30" x14ac:dyDescent="0.25">
      <c r="A24" s="1" t="s">
        <v>321</v>
      </c>
      <c r="B24" s="3" t="s">
        <v>34</v>
      </c>
      <c r="C24" s="35">
        <v>200</v>
      </c>
    </row>
    <row r="25" spans="1:3" ht="30" x14ac:dyDescent="0.25">
      <c r="A25" s="1" t="s">
        <v>325</v>
      </c>
      <c r="B25" s="3" t="str">
        <f>B18</f>
        <v>M²</v>
      </c>
      <c r="C25" s="35">
        <v>15</v>
      </c>
    </row>
    <row r="26" spans="1:3" ht="30" x14ac:dyDescent="0.25">
      <c r="A26" s="1" t="s">
        <v>324</v>
      </c>
      <c r="B26" s="3" t="str">
        <f>B25</f>
        <v>M²</v>
      </c>
      <c r="C26" s="35">
        <v>8</v>
      </c>
    </row>
    <row r="27" spans="1:3" ht="30" x14ac:dyDescent="0.25">
      <c r="A27" s="1" t="s">
        <v>334</v>
      </c>
      <c r="B27" s="3" t="str">
        <f>B26</f>
        <v>M²</v>
      </c>
      <c r="C27" s="35">
        <v>90</v>
      </c>
    </row>
    <row r="28" spans="1:3" ht="30" x14ac:dyDescent="0.25">
      <c r="A28" s="1" t="s">
        <v>337</v>
      </c>
      <c r="B28" s="3" t="str">
        <f>B27</f>
        <v>M²</v>
      </c>
      <c r="C28" s="35">
        <f>350/60</f>
        <v>5.833333333333333</v>
      </c>
    </row>
  </sheetData>
  <mergeCells count="1">
    <mergeCell ref="A1:C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27"/>
  <sheetViews>
    <sheetView workbookViewId="0">
      <selection activeCell="G36" sqref="G36"/>
    </sheetView>
  </sheetViews>
  <sheetFormatPr baseColWidth="10" defaultRowHeight="15" x14ac:dyDescent="0.25"/>
  <cols>
    <col min="5" max="5" width="16.5703125" customWidth="1"/>
  </cols>
  <sheetData>
    <row r="1" spans="1:10" x14ac:dyDescent="0.25">
      <c r="A1" s="166" t="s">
        <v>181</v>
      </c>
      <c r="B1" s="166"/>
      <c r="C1" s="166"/>
      <c r="D1" s="166"/>
      <c r="E1" s="53">
        <f>'Matrices Costo Directo'!E70</f>
        <v>12217.777599999999</v>
      </c>
      <c r="F1" s="167"/>
      <c r="G1" s="167"/>
      <c r="H1" s="167"/>
      <c r="I1" s="167"/>
      <c r="J1" s="167"/>
    </row>
    <row r="3" spans="1:10" x14ac:dyDescent="0.25">
      <c r="A3" s="166" t="str">
        <f>'Matrices Costo Directo'!A149</f>
        <v>Total de costo en Cimentacion</v>
      </c>
      <c r="B3" s="166"/>
      <c r="C3" s="166"/>
      <c r="D3" s="166"/>
      <c r="E3" s="62">
        <f>'Matrices Costo Directo'!E149</f>
        <v>128683.23042436363</v>
      </c>
    </row>
    <row r="5" spans="1:10" x14ac:dyDescent="0.25">
      <c r="A5" s="166" t="str">
        <f>'Matrices Costo Directo'!A215</f>
        <v>Total de costo en Estructura</v>
      </c>
      <c r="B5" s="166"/>
      <c r="C5" s="166"/>
      <c r="D5" s="166"/>
      <c r="E5" s="62">
        <f>'Matrices Costo Directo'!E215</f>
        <v>77413.0049</v>
      </c>
    </row>
    <row r="6" spans="1:10" x14ac:dyDescent="0.25">
      <c r="A6" s="77"/>
      <c r="B6" s="77"/>
      <c r="C6" s="77"/>
      <c r="D6" s="77"/>
      <c r="E6" s="78"/>
    </row>
    <row r="7" spans="1:10" x14ac:dyDescent="0.25">
      <c r="A7" s="166" t="s">
        <v>347</v>
      </c>
      <c r="B7" s="166"/>
      <c r="C7" s="166"/>
      <c r="D7" s="166"/>
      <c r="E7" s="62">
        <f>'Matrices Costo Directo'!E182</f>
        <v>3989.5833333333335</v>
      </c>
    </row>
    <row r="9" spans="1:10" x14ac:dyDescent="0.25">
      <c r="A9" s="166" t="str">
        <f>'Matrices Costo Directo'!A322</f>
        <v>Total de costo en Muros Dalas y Castillos</v>
      </c>
      <c r="B9" s="166"/>
      <c r="C9" s="166"/>
      <c r="D9" s="166"/>
      <c r="E9" s="62">
        <f>'Matrices Costo Directo'!E322</f>
        <v>416382.32892411534</v>
      </c>
    </row>
    <row r="11" spans="1:10" x14ac:dyDescent="0.25">
      <c r="A11" s="166" t="s">
        <v>236</v>
      </c>
      <c r="B11" s="166"/>
      <c r="C11" s="166"/>
      <c r="D11" s="166"/>
      <c r="E11" s="62">
        <f>'Matrices Costo Directo'!E366</f>
        <v>57231.002610284413</v>
      </c>
    </row>
    <row r="13" spans="1:10" x14ac:dyDescent="0.25">
      <c r="A13" s="166" t="s">
        <v>234</v>
      </c>
      <c r="B13" s="166"/>
      <c r="C13" s="166"/>
      <c r="D13" s="166"/>
      <c r="E13" s="62">
        <f>'Matrices Costo Directo'!E443</f>
        <v>26833</v>
      </c>
    </row>
    <row r="15" spans="1:10" x14ac:dyDescent="0.25">
      <c r="A15" s="166" t="s">
        <v>233</v>
      </c>
      <c r="B15" s="166"/>
      <c r="C15" s="166"/>
      <c r="D15" s="166"/>
      <c r="E15" s="62">
        <f>'Matrices Costo Directo'!E458</f>
        <v>3499.1969999999997</v>
      </c>
    </row>
    <row r="17" spans="1:5" x14ac:dyDescent="0.25">
      <c r="A17" s="166" t="s">
        <v>235</v>
      </c>
      <c r="B17" s="166"/>
      <c r="C17" s="166"/>
      <c r="D17" s="166"/>
      <c r="E17" s="63">
        <f>'Matrices Costo Directo'!E623</f>
        <v>34121</v>
      </c>
    </row>
    <row r="19" spans="1:5" x14ac:dyDescent="0.25">
      <c r="A19" s="166" t="s">
        <v>335</v>
      </c>
      <c r="B19" s="166"/>
      <c r="C19" s="166"/>
      <c r="D19" s="166"/>
      <c r="E19" s="62">
        <f>'Matrices Costo Directo'!E646</f>
        <v>32204.358899999999</v>
      </c>
    </row>
    <row r="21" spans="1:5" x14ac:dyDescent="0.25">
      <c r="A21" s="166" t="s">
        <v>336</v>
      </c>
      <c r="B21" s="166"/>
      <c r="C21" s="166"/>
      <c r="D21" s="166"/>
      <c r="E21" s="62">
        <f>'Matrices Costo Directo'!E656</f>
        <v>350</v>
      </c>
    </row>
    <row r="22" spans="1:5" x14ac:dyDescent="0.25">
      <c r="A22" s="77"/>
      <c r="B22" s="77"/>
      <c r="C22" s="77"/>
      <c r="D22" s="77"/>
      <c r="E22" s="78"/>
    </row>
    <row r="23" spans="1:5" x14ac:dyDescent="0.25">
      <c r="A23" s="166" t="s">
        <v>338</v>
      </c>
      <c r="B23" s="166"/>
      <c r="C23" s="166"/>
      <c r="D23" s="166"/>
      <c r="E23" s="53">
        <f>'Matrices Costo Directo'!E670</f>
        <v>1751.1083333333331</v>
      </c>
    </row>
    <row r="25" spans="1:5" x14ac:dyDescent="0.25">
      <c r="A25" s="166" t="s">
        <v>349</v>
      </c>
      <c r="B25" s="166"/>
      <c r="C25" s="166"/>
      <c r="D25" s="166"/>
      <c r="E25" s="62">
        <f>E1+E3+E5+E9+E13+E15+E17+E11+E19+E21+E23+E7</f>
        <v>794675.59202543006</v>
      </c>
    </row>
    <row r="26" spans="1:5" x14ac:dyDescent="0.25">
      <c r="A26" s="166" t="s">
        <v>348</v>
      </c>
      <c r="B26" s="166"/>
      <c r="C26" s="166"/>
      <c r="D26" s="166"/>
      <c r="E26" s="53">
        <f>E25*0.17</f>
        <v>135094.85064432313</v>
      </c>
    </row>
    <row r="27" spans="1:5" x14ac:dyDescent="0.25">
      <c r="A27" s="166" t="s">
        <v>350</v>
      </c>
      <c r="B27" s="166"/>
      <c r="C27" s="166"/>
      <c r="D27" s="166"/>
      <c r="E27" s="62">
        <f>E25+E26</f>
        <v>929770.44266975322</v>
      </c>
    </row>
  </sheetData>
  <mergeCells count="16">
    <mergeCell ref="F1:J1"/>
    <mergeCell ref="A1:D1"/>
    <mergeCell ref="A3:D3"/>
    <mergeCell ref="A5:D5"/>
    <mergeCell ref="A9:D9"/>
    <mergeCell ref="A27:D27"/>
    <mergeCell ref="A7:D7"/>
    <mergeCell ref="A26:D26"/>
    <mergeCell ref="A21:D21"/>
    <mergeCell ref="A23:D23"/>
    <mergeCell ref="A25:D25"/>
    <mergeCell ref="A15:D15"/>
    <mergeCell ref="A17:D17"/>
    <mergeCell ref="A13:D13"/>
    <mergeCell ref="A11:D11"/>
    <mergeCell ref="A19:D1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Generador de obra</vt:lpstr>
      <vt:lpstr>Ruta critica propuesta</vt:lpstr>
      <vt:lpstr>Ruta critica lineal q</vt:lpstr>
      <vt:lpstr>Diagrama de Gant</vt:lpstr>
      <vt:lpstr>Ruta de Materiales</vt:lpstr>
      <vt:lpstr>Matrices Costo Directo</vt:lpstr>
      <vt:lpstr>Materiales</vt:lpstr>
      <vt:lpstr>Mano de Obra</vt:lpstr>
      <vt:lpstr>Presupuesto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José Luis Gómez</cp:lastModifiedBy>
  <cp:lastPrinted>2015-06-23T21:38:41Z</cp:lastPrinted>
  <dcterms:created xsi:type="dcterms:W3CDTF">2015-02-16T18:24:37Z</dcterms:created>
  <dcterms:modified xsi:type="dcterms:W3CDTF">2018-04-17T01:55:13Z</dcterms:modified>
</cp:coreProperties>
</file>