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urea\Documents\1. INSURGENTES\UIN SAN ÁNGEL\Ingenieria de Costos\Archivos Presupuesto\"/>
    </mc:Choice>
  </mc:AlternateContent>
  <bookViews>
    <workbookView xWindow="120" yWindow="72" windowWidth="11592" windowHeight="6660" activeTab="1"/>
  </bookViews>
  <sheets>
    <sheet name="Salarios" sheetId="1" r:id="rId1"/>
    <sheet name="Cuadrillas" sheetId="2" r:id="rId2"/>
    <sheet name="Precios de Mat." sheetId="4" r:id="rId3"/>
    <sheet name="Equipo" sheetId="3" r:id="rId4"/>
    <sheet name="Morteros" sheetId="5" r:id="rId5"/>
    <sheet name="Conc. resist. norm" sheetId="6" r:id="rId6"/>
    <sheet name="Conc. Imp" sheetId="7" r:id="rId7"/>
    <sheet name="Conc. Norm. Cim" sheetId="8" r:id="rId8"/>
    <sheet name="Conc. Imp. Cim" sheetId="9" r:id="rId9"/>
    <sheet name="Conc. Norm. Estruc" sheetId="10" r:id="rId10"/>
    <sheet name="Conc. Imp. Estruc" sheetId="11" r:id="rId11"/>
    <sheet name="Acero Cim." sheetId="12" r:id="rId12"/>
    <sheet name="Acero Estruc." sheetId="13" r:id="rId13"/>
  </sheets>
  <definedNames>
    <definedName name="_xlnm.Print_Area" localSheetId="1">Cuadrillas!$A$6:$K$525</definedName>
  </definedNames>
  <calcPr calcId="171027"/>
</workbook>
</file>

<file path=xl/calcChain.xml><?xml version="1.0" encoding="utf-8"?>
<calcChain xmlns="http://schemas.openxmlformats.org/spreadsheetml/2006/main">
  <c r="B28" i="4" l="1"/>
  <c r="B29" i="4"/>
  <c r="B30" i="4"/>
  <c r="B31" i="4"/>
  <c r="B32" i="4"/>
  <c r="B33" i="4"/>
  <c r="B34" i="4"/>
  <c r="B35" i="4"/>
  <c r="B36" i="4"/>
  <c r="B37" i="4"/>
  <c r="B38" i="4"/>
  <c r="B27" i="4"/>
  <c r="B20" i="4"/>
  <c r="B21" i="4"/>
  <c r="B22" i="4"/>
  <c r="B19" i="4"/>
  <c r="B9" i="4"/>
  <c r="B10" i="4"/>
  <c r="B11" i="4"/>
  <c r="B12" i="4"/>
  <c r="B13" i="4"/>
  <c r="B14" i="4"/>
  <c r="B15" i="4"/>
  <c r="B16" i="4"/>
  <c r="B17" i="4"/>
  <c r="K19" i="4"/>
  <c r="K20" i="4"/>
  <c r="K21" i="4"/>
  <c r="K22" i="4"/>
  <c r="K27" i="4"/>
  <c r="K28" i="4"/>
  <c r="K29" i="4"/>
  <c r="K30" i="4"/>
  <c r="K31" i="4"/>
  <c r="K32" i="4"/>
  <c r="K33" i="4"/>
  <c r="K34" i="4"/>
  <c r="K35" i="4"/>
  <c r="K36" i="4"/>
  <c r="K37" i="4"/>
  <c r="K38" i="4"/>
  <c r="K9" i="4"/>
  <c r="K10" i="4"/>
  <c r="K11" i="4"/>
  <c r="K12" i="4"/>
  <c r="K13" i="4"/>
  <c r="K14" i="4"/>
  <c r="K15" i="4"/>
  <c r="K16" i="4"/>
  <c r="K17" i="4"/>
  <c r="K8" i="4"/>
  <c r="B8" i="4" s="1"/>
  <c r="C55" i="1" l="1"/>
  <c r="I55" i="1" s="1"/>
  <c r="D55" i="1"/>
  <c r="E55" i="1"/>
  <c r="F55" i="1" s="1"/>
  <c r="H55" i="1" l="1"/>
  <c r="K55" i="1"/>
  <c r="G55" i="1"/>
  <c r="J55" i="1"/>
  <c r="L55" i="1" s="1"/>
  <c r="M55" i="1" s="1"/>
  <c r="D10" i="12"/>
  <c r="E10" i="12"/>
  <c r="F10" i="12" s="1"/>
  <c r="K10" i="12"/>
  <c r="L10" i="12"/>
  <c r="M10" i="12" s="1"/>
  <c r="D11" i="12"/>
  <c r="E11" i="12"/>
  <c r="F11" i="12" s="1"/>
  <c r="K11" i="12"/>
  <c r="L11" i="12"/>
  <c r="M11" i="12" s="1"/>
  <c r="D16" i="12"/>
  <c r="K16" i="12"/>
  <c r="M16" i="12" s="1"/>
  <c r="M19" i="12" s="1"/>
  <c r="D27" i="12"/>
  <c r="E27" i="12"/>
  <c r="F27" i="12" s="1"/>
  <c r="K27" i="12"/>
  <c r="L27" i="12"/>
  <c r="M27" i="12" s="1"/>
  <c r="D28" i="12"/>
  <c r="E28" i="12"/>
  <c r="F28" i="12" s="1"/>
  <c r="K28" i="12"/>
  <c r="L28" i="12"/>
  <c r="M28" i="12" s="1"/>
  <c r="D33" i="12"/>
  <c r="F33" i="12" s="1"/>
  <c r="F36" i="12" s="1"/>
  <c r="K33" i="12"/>
  <c r="M33" i="12" s="1"/>
  <c r="M36" i="12" s="1"/>
  <c r="D44" i="12"/>
  <c r="E44" i="12"/>
  <c r="F44" i="12" s="1"/>
  <c r="K44" i="12"/>
  <c r="L44" i="12"/>
  <c r="D45" i="12"/>
  <c r="E45" i="12"/>
  <c r="K45" i="12"/>
  <c r="L45" i="12"/>
  <c r="D50" i="12"/>
  <c r="F50" i="12" s="1"/>
  <c r="F53" i="12" s="1"/>
  <c r="K50" i="12"/>
  <c r="M50" i="12" s="1"/>
  <c r="M53" i="12" s="1"/>
  <c r="D61" i="12"/>
  <c r="E61" i="12"/>
  <c r="K61" i="12"/>
  <c r="L61" i="12"/>
  <c r="D62" i="12"/>
  <c r="E62" i="12"/>
  <c r="K62" i="12"/>
  <c r="L62" i="12"/>
  <c r="D67" i="12"/>
  <c r="F67" i="12" s="1"/>
  <c r="F70" i="12" s="1"/>
  <c r="K67" i="12"/>
  <c r="M67" i="12" s="1"/>
  <c r="M70" i="12" s="1"/>
  <c r="D78" i="12"/>
  <c r="E78" i="12"/>
  <c r="F78" i="12" s="1"/>
  <c r="D79" i="12"/>
  <c r="E79" i="12"/>
  <c r="F79" i="12" s="1"/>
  <c r="D84" i="12"/>
  <c r="F84" i="12"/>
  <c r="F87" i="12" s="1"/>
  <c r="D10" i="13"/>
  <c r="E10" i="13"/>
  <c r="F10" i="13" s="1"/>
  <c r="K10" i="13"/>
  <c r="L10" i="13"/>
  <c r="M10" i="13" s="1"/>
  <c r="D11" i="13"/>
  <c r="E11" i="13"/>
  <c r="F11" i="13" s="1"/>
  <c r="K11" i="13"/>
  <c r="L11" i="13"/>
  <c r="M11" i="13" s="1"/>
  <c r="D16" i="13"/>
  <c r="K16" i="13"/>
  <c r="D27" i="13"/>
  <c r="E27" i="13"/>
  <c r="K27" i="13"/>
  <c r="L27" i="13"/>
  <c r="M27" i="13" s="1"/>
  <c r="M31" i="13" s="1"/>
  <c r="D28" i="13"/>
  <c r="E28" i="13"/>
  <c r="K28" i="13"/>
  <c r="M28" i="13" s="1"/>
  <c r="D33" i="13"/>
  <c r="K33" i="13"/>
  <c r="D44" i="13"/>
  <c r="E44" i="13"/>
  <c r="K44" i="13"/>
  <c r="L44" i="13"/>
  <c r="D45" i="13"/>
  <c r="E45" i="13"/>
  <c r="K45" i="13"/>
  <c r="L45" i="13"/>
  <c r="D50" i="13"/>
  <c r="K50" i="13"/>
  <c r="D61" i="13"/>
  <c r="E61" i="13"/>
  <c r="K61" i="13"/>
  <c r="L61" i="13"/>
  <c r="D62" i="13"/>
  <c r="E62" i="13"/>
  <c r="K62" i="13"/>
  <c r="L62" i="13"/>
  <c r="D67" i="13"/>
  <c r="K67" i="13"/>
  <c r="D78" i="13"/>
  <c r="E78" i="13"/>
  <c r="D79" i="13"/>
  <c r="E79" i="13"/>
  <c r="D84" i="13"/>
  <c r="D10" i="7"/>
  <c r="E10" i="7"/>
  <c r="K10" i="7"/>
  <c r="L10" i="7"/>
  <c r="D11" i="7"/>
  <c r="E11" i="7"/>
  <c r="K11" i="7"/>
  <c r="L11" i="7"/>
  <c r="D12" i="7"/>
  <c r="E12" i="7"/>
  <c r="K12" i="7"/>
  <c r="L12" i="7"/>
  <c r="D13" i="7"/>
  <c r="E13" i="7"/>
  <c r="K13" i="7"/>
  <c r="L13" i="7"/>
  <c r="D14" i="7"/>
  <c r="E14" i="7"/>
  <c r="K14" i="7"/>
  <c r="L14" i="7"/>
  <c r="D17" i="7"/>
  <c r="K17" i="7"/>
  <c r="D18" i="7"/>
  <c r="K18" i="7"/>
  <c r="D27" i="7"/>
  <c r="E27" i="7"/>
  <c r="K27" i="7"/>
  <c r="L27" i="7"/>
  <c r="D28" i="7"/>
  <c r="E28" i="7"/>
  <c r="K28" i="7"/>
  <c r="L28" i="7"/>
  <c r="D29" i="7"/>
  <c r="E29" i="7"/>
  <c r="K29" i="7"/>
  <c r="L29" i="7"/>
  <c r="D30" i="7"/>
  <c r="E30" i="7"/>
  <c r="K30" i="7"/>
  <c r="L30" i="7"/>
  <c r="D31" i="7"/>
  <c r="E31" i="7"/>
  <c r="K31" i="7"/>
  <c r="L31" i="7"/>
  <c r="D34" i="7"/>
  <c r="K34" i="7"/>
  <c r="D35" i="7"/>
  <c r="K35" i="7"/>
  <c r="D44" i="7"/>
  <c r="E44" i="7"/>
  <c r="K44" i="7"/>
  <c r="L44" i="7"/>
  <c r="D45" i="7"/>
  <c r="E45" i="7"/>
  <c r="K45" i="7"/>
  <c r="L45" i="7"/>
  <c r="D46" i="7"/>
  <c r="E46" i="7"/>
  <c r="K46" i="7"/>
  <c r="L46" i="7"/>
  <c r="D47" i="7"/>
  <c r="E47" i="7"/>
  <c r="K47" i="7"/>
  <c r="L47" i="7"/>
  <c r="D48" i="7"/>
  <c r="E48" i="7"/>
  <c r="F48" i="7" s="1"/>
  <c r="K48" i="7"/>
  <c r="L48" i="7"/>
  <c r="M48" i="7" s="1"/>
  <c r="D51" i="7"/>
  <c r="K51" i="7"/>
  <c r="D52" i="7"/>
  <c r="K52" i="7"/>
  <c r="D61" i="7"/>
  <c r="E61" i="7"/>
  <c r="F61" i="7" s="1"/>
  <c r="K61" i="7"/>
  <c r="L61" i="7"/>
  <c r="D62" i="7"/>
  <c r="E62" i="7"/>
  <c r="K62" i="7"/>
  <c r="L62" i="7"/>
  <c r="D63" i="7"/>
  <c r="E63" i="7"/>
  <c r="K63" i="7"/>
  <c r="L63" i="7"/>
  <c r="M63" i="7" s="1"/>
  <c r="D64" i="7"/>
  <c r="E64" i="7"/>
  <c r="F64" i="7" s="1"/>
  <c r="K64" i="7"/>
  <c r="L64" i="7"/>
  <c r="M64" i="7" s="1"/>
  <c r="D65" i="7"/>
  <c r="E65" i="7"/>
  <c r="F65" i="7" s="1"/>
  <c r="K65" i="7"/>
  <c r="L65" i="7"/>
  <c r="D68" i="7"/>
  <c r="K68" i="7"/>
  <c r="D69" i="7"/>
  <c r="K69" i="7"/>
  <c r="D78" i="7"/>
  <c r="E78" i="7"/>
  <c r="F78" i="7" s="1"/>
  <c r="D79" i="7"/>
  <c r="E79" i="7"/>
  <c r="D80" i="7"/>
  <c r="E80" i="7"/>
  <c r="D81" i="7"/>
  <c r="E81" i="7"/>
  <c r="D82" i="7"/>
  <c r="E82" i="7"/>
  <c r="D85" i="7"/>
  <c r="D86" i="7"/>
  <c r="D11" i="9"/>
  <c r="K11" i="9"/>
  <c r="D12" i="9"/>
  <c r="E12" i="9"/>
  <c r="K12" i="9"/>
  <c r="L12" i="9"/>
  <c r="D17" i="9"/>
  <c r="K17" i="9"/>
  <c r="D18" i="9"/>
  <c r="K18" i="9"/>
  <c r="D19" i="9"/>
  <c r="K19" i="9"/>
  <c r="D28" i="9"/>
  <c r="K28" i="9"/>
  <c r="D29" i="9"/>
  <c r="E29" i="9"/>
  <c r="K29" i="9"/>
  <c r="L29" i="9"/>
  <c r="D34" i="9"/>
  <c r="K34" i="9"/>
  <c r="D35" i="9"/>
  <c r="K35" i="9"/>
  <c r="D36" i="9"/>
  <c r="K36" i="9"/>
  <c r="D45" i="9"/>
  <c r="K45" i="9"/>
  <c r="D46" i="9"/>
  <c r="E46" i="9"/>
  <c r="F46" i="9" s="1"/>
  <c r="K46" i="9"/>
  <c r="L46" i="9"/>
  <c r="D51" i="9"/>
  <c r="K51" i="9"/>
  <c r="D52" i="9"/>
  <c r="K52" i="9"/>
  <c r="D53" i="9"/>
  <c r="K53" i="9"/>
  <c r="D62" i="9"/>
  <c r="K62" i="9"/>
  <c r="D63" i="9"/>
  <c r="E63" i="9"/>
  <c r="K63" i="9"/>
  <c r="L63" i="9"/>
  <c r="D68" i="9"/>
  <c r="K68" i="9"/>
  <c r="D69" i="9"/>
  <c r="K69" i="9"/>
  <c r="D70" i="9"/>
  <c r="K70" i="9"/>
  <c r="D79" i="9"/>
  <c r="D80" i="9"/>
  <c r="E80" i="9"/>
  <c r="D85" i="9"/>
  <c r="D86" i="9"/>
  <c r="D87" i="9"/>
  <c r="D10" i="11"/>
  <c r="K10" i="11"/>
  <c r="D11" i="11"/>
  <c r="E11" i="11"/>
  <c r="K11" i="11"/>
  <c r="L11" i="11"/>
  <c r="D17" i="11"/>
  <c r="K17" i="11"/>
  <c r="D27" i="11"/>
  <c r="K27" i="11"/>
  <c r="D28" i="11"/>
  <c r="E28" i="11"/>
  <c r="K28" i="11"/>
  <c r="L28" i="11"/>
  <c r="D34" i="11"/>
  <c r="K34" i="11"/>
  <c r="D44" i="11"/>
  <c r="K44" i="11"/>
  <c r="D45" i="11"/>
  <c r="E45" i="11"/>
  <c r="K45" i="11"/>
  <c r="L45" i="11"/>
  <c r="D51" i="11"/>
  <c r="K51" i="11"/>
  <c r="D61" i="11"/>
  <c r="K61" i="11"/>
  <c r="D62" i="11"/>
  <c r="E62" i="11"/>
  <c r="K62" i="11"/>
  <c r="L62" i="11"/>
  <c r="D68" i="11"/>
  <c r="K68" i="11"/>
  <c r="D78" i="11"/>
  <c r="D79" i="11"/>
  <c r="E79" i="11"/>
  <c r="D85" i="11"/>
  <c r="D11" i="8"/>
  <c r="K11" i="8"/>
  <c r="D12" i="8"/>
  <c r="E12" i="8"/>
  <c r="K12" i="8"/>
  <c r="L12" i="8"/>
  <c r="D17" i="8"/>
  <c r="K17" i="8"/>
  <c r="D18" i="8"/>
  <c r="K18" i="8"/>
  <c r="D19" i="8"/>
  <c r="K19" i="8"/>
  <c r="D28" i="8"/>
  <c r="K28" i="8"/>
  <c r="D29" i="8"/>
  <c r="E29" i="8"/>
  <c r="K29" i="8"/>
  <c r="L29" i="8"/>
  <c r="D34" i="8"/>
  <c r="K34" i="8"/>
  <c r="D35" i="8"/>
  <c r="K35" i="8"/>
  <c r="D36" i="8"/>
  <c r="K36" i="8"/>
  <c r="D45" i="8"/>
  <c r="K45" i="8"/>
  <c r="D46" i="8"/>
  <c r="E46" i="8"/>
  <c r="K46" i="8"/>
  <c r="L46" i="8"/>
  <c r="D51" i="8"/>
  <c r="K51" i="8"/>
  <c r="D52" i="8"/>
  <c r="K52" i="8"/>
  <c r="D53" i="8"/>
  <c r="K53" i="8"/>
  <c r="D62" i="8"/>
  <c r="K62" i="8"/>
  <c r="D63" i="8"/>
  <c r="E63" i="8"/>
  <c r="K63" i="8"/>
  <c r="L63" i="8"/>
  <c r="D68" i="8"/>
  <c r="K68" i="8"/>
  <c r="D69" i="8"/>
  <c r="K69" i="8"/>
  <c r="D70" i="8"/>
  <c r="K70" i="8"/>
  <c r="D79" i="8"/>
  <c r="D80" i="8"/>
  <c r="E80" i="8"/>
  <c r="D85" i="8"/>
  <c r="D86" i="8"/>
  <c r="D87" i="8"/>
  <c r="D10" i="10"/>
  <c r="K10" i="10"/>
  <c r="D11" i="10"/>
  <c r="E11" i="10"/>
  <c r="K11" i="10"/>
  <c r="L11" i="10"/>
  <c r="D17" i="10"/>
  <c r="K17" i="10"/>
  <c r="D27" i="10"/>
  <c r="K27" i="10"/>
  <c r="D28" i="10"/>
  <c r="E28" i="10"/>
  <c r="K28" i="10"/>
  <c r="L28" i="10"/>
  <c r="D34" i="10"/>
  <c r="K34" i="10"/>
  <c r="D44" i="10"/>
  <c r="K44" i="10"/>
  <c r="D45" i="10"/>
  <c r="E45" i="10"/>
  <c r="K45" i="10"/>
  <c r="L45" i="10"/>
  <c r="D51" i="10"/>
  <c r="K51" i="10"/>
  <c r="D61" i="10"/>
  <c r="K61" i="10"/>
  <c r="D62" i="10"/>
  <c r="E62" i="10"/>
  <c r="K62" i="10"/>
  <c r="L62" i="10"/>
  <c r="D68" i="10"/>
  <c r="K68" i="10"/>
  <c r="D78" i="10"/>
  <c r="D79" i="10"/>
  <c r="E79" i="10"/>
  <c r="D85" i="10"/>
  <c r="D10" i="6"/>
  <c r="E10" i="6"/>
  <c r="K10" i="6"/>
  <c r="L10" i="6"/>
  <c r="D11" i="6"/>
  <c r="E11" i="6"/>
  <c r="K11" i="6"/>
  <c r="L11" i="6"/>
  <c r="D12" i="6"/>
  <c r="E12" i="6"/>
  <c r="K12" i="6"/>
  <c r="L12" i="6"/>
  <c r="D13" i="6"/>
  <c r="E13" i="6"/>
  <c r="K13" i="6"/>
  <c r="L13" i="6"/>
  <c r="D17" i="6"/>
  <c r="K17" i="6"/>
  <c r="D18" i="6"/>
  <c r="K18" i="6"/>
  <c r="D27" i="6"/>
  <c r="E27" i="6"/>
  <c r="K27" i="6"/>
  <c r="L27" i="6"/>
  <c r="D28" i="6"/>
  <c r="E28" i="6"/>
  <c r="K28" i="6"/>
  <c r="L28" i="6"/>
  <c r="D29" i="6"/>
  <c r="E29" i="6"/>
  <c r="K29" i="6"/>
  <c r="L29" i="6"/>
  <c r="D30" i="6"/>
  <c r="E30" i="6"/>
  <c r="K30" i="6"/>
  <c r="L30" i="6"/>
  <c r="D34" i="6"/>
  <c r="K34" i="6"/>
  <c r="D35" i="6"/>
  <c r="K35" i="6"/>
  <c r="D44" i="6"/>
  <c r="E44" i="6"/>
  <c r="K44" i="6"/>
  <c r="L44" i="6"/>
  <c r="D45" i="6"/>
  <c r="E45" i="6"/>
  <c r="K45" i="6"/>
  <c r="L45" i="6"/>
  <c r="D46" i="6"/>
  <c r="E46" i="6"/>
  <c r="F46" i="6" s="1"/>
  <c r="K46" i="6"/>
  <c r="L46" i="6"/>
  <c r="M46" i="6" s="1"/>
  <c r="D47" i="6"/>
  <c r="E47" i="6"/>
  <c r="F47" i="6" s="1"/>
  <c r="K47" i="6"/>
  <c r="L47" i="6"/>
  <c r="M47" i="6" s="1"/>
  <c r="D51" i="6"/>
  <c r="K51" i="6"/>
  <c r="D52" i="6"/>
  <c r="K52" i="6"/>
  <c r="D61" i="6"/>
  <c r="E61" i="6"/>
  <c r="F61" i="6" s="1"/>
  <c r="K61" i="6"/>
  <c r="L61" i="6"/>
  <c r="M61" i="6" s="1"/>
  <c r="D62" i="6"/>
  <c r="E62" i="6"/>
  <c r="F62" i="6" s="1"/>
  <c r="K62" i="6"/>
  <c r="L62" i="6"/>
  <c r="M62" i="6" s="1"/>
  <c r="D63" i="6"/>
  <c r="E63" i="6"/>
  <c r="F63" i="6" s="1"/>
  <c r="K63" i="6"/>
  <c r="L63" i="6"/>
  <c r="M63" i="6" s="1"/>
  <c r="D64" i="6"/>
  <c r="E64" i="6"/>
  <c r="F64" i="6" s="1"/>
  <c r="K64" i="6"/>
  <c r="L64" i="6"/>
  <c r="D68" i="6"/>
  <c r="K68" i="6"/>
  <c r="D69" i="6"/>
  <c r="K69" i="6"/>
  <c r="D78" i="6"/>
  <c r="E78" i="6"/>
  <c r="F78" i="6" s="1"/>
  <c r="D79" i="6"/>
  <c r="E79" i="6"/>
  <c r="F79" i="6" s="1"/>
  <c r="D80" i="6"/>
  <c r="E80" i="6"/>
  <c r="F80" i="6" s="1"/>
  <c r="D81" i="6"/>
  <c r="E81" i="6"/>
  <c r="F81" i="6" s="1"/>
  <c r="D85" i="6"/>
  <c r="D86" i="6"/>
  <c r="C9" i="2"/>
  <c r="I9" i="2"/>
  <c r="I14" i="2" s="1"/>
  <c r="C14" i="2"/>
  <c r="C15" i="2"/>
  <c r="C23" i="2"/>
  <c r="I23" i="2"/>
  <c r="E24" i="2"/>
  <c r="K24" i="2"/>
  <c r="E25" i="2"/>
  <c r="K25" i="2"/>
  <c r="E26" i="2"/>
  <c r="K26" i="2"/>
  <c r="C28" i="2"/>
  <c r="I28" i="2"/>
  <c r="C29" i="2"/>
  <c r="I29" i="2"/>
  <c r="C37" i="2"/>
  <c r="I37" i="2"/>
  <c r="C42" i="2"/>
  <c r="I42" i="2"/>
  <c r="C43" i="2"/>
  <c r="I43" i="2"/>
  <c r="C51" i="2"/>
  <c r="C56" i="2" s="1"/>
  <c r="I56" i="2"/>
  <c r="I57" i="2"/>
  <c r="C65" i="2"/>
  <c r="C70" i="2" s="1"/>
  <c r="I70" i="2"/>
  <c r="I71" i="2"/>
  <c r="E82" i="2"/>
  <c r="K82" i="2"/>
  <c r="E83" i="2"/>
  <c r="K83" i="2"/>
  <c r="C85" i="2"/>
  <c r="I85" i="2"/>
  <c r="C86" i="2"/>
  <c r="I86" i="2"/>
  <c r="E96" i="2"/>
  <c r="K96" i="2"/>
  <c r="E97" i="2"/>
  <c r="K97" i="2"/>
  <c r="C99" i="2"/>
  <c r="I99" i="2"/>
  <c r="C100" i="2"/>
  <c r="I100" i="2"/>
  <c r="E110" i="2"/>
  <c r="K110" i="2"/>
  <c r="E111" i="2"/>
  <c r="K111" i="2"/>
  <c r="C113" i="2"/>
  <c r="I113" i="2"/>
  <c r="C114" i="2"/>
  <c r="I114" i="2"/>
  <c r="E124" i="2"/>
  <c r="K124" i="2"/>
  <c r="E125" i="2"/>
  <c r="K125" i="2"/>
  <c r="C127" i="2"/>
  <c r="I127" i="2"/>
  <c r="C128" i="2"/>
  <c r="I128" i="2"/>
  <c r="E138" i="2"/>
  <c r="K138" i="2"/>
  <c r="E139" i="2"/>
  <c r="K139" i="2"/>
  <c r="C141" i="2"/>
  <c r="I141" i="2"/>
  <c r="C142" i="2"/>
  <c r="I142" i="2"/>
  <c r="E152" i="2"/>
  <c r="K152" i="2"/>
  <c r="E153" i="2"/>
  <c r="K153" i="2"/>
  <c r="C155" i="2"/>
  <c r="I155" i="2"/>
  <c r="C156" i="2"/>
  <c r="I156" i="2"/>
  <c r="E166" i="2"/>
  <c r="K166" i="2"/>
  <c r="E167" i="2"/>
  <c r="K167" i="2"/>
  <c r="C169" i="2"/>
  <c r="K169" i="2"/>
  <c r="C170" i="2"/>
  <c r="I170" i="2"/>
  <c r="E180" i="2"/>
  <c r="K180" i="2"/>
  <c r="E181" i="2"/>
  <c r="K181" i="2"/>
  <c r="C183" i="2"/>
  <c r="K183" i="2"/>
  <c r="C184" i="2"/>
  <c r="I184" i="2"/>
  <c r="E194" i="2"/>
  <c r="K194" i="2"/>
  <c r="E195" i="2"/>
  <c r="K195" i="2"/>
  <c r="C197" i="2"/>
  <c r="K197" i="2"/>
  <c r="C198" i="2"/>
  <c r="I198" i="2"/>
  <c r="E208" i="2"/>
  <c r="K208" i="2"/>
  <c r="E209" i="2"/>
  <c r="K209" i="2"/>
  <c r="C211" i="2"/>
  <c r="I211" i="2"/>
  <c r="C212" i="2"/>
  <c r="I212" i="2"/>
  <c r="E221" i="2"/>
  <c r="E222" i="2"/>
  <c r="K222" i="2"/>
  <c r="E223" i="2"/>
  <c r="K223" i="2"/>
  <c r="E225" i="2"/>
  <c r="I225" i="2"/>
  <c r="C226" i="2"/>
  <c r="I226" i="2"/>
  <c r="E236" i="2"/>
  <c r="K236" i="2"/>
  <c r="E237" i="2"/>
  <c r="K237" i="2"/>
  <c r="E239" i="2"/>
  <c r="I239" i="2"/>
  <c r="C240" i="2"/>
  <c r="I240" i="2"/>
  <c r="E250" i="2"/>
  <c r="K250" i="2"/>
  <c r="E251" i="2"/>
  <c r="K251" i="2"/>
  <c r="E253" i="2"/>
  <c r="I253" i="2"/>
  <c r="C254" i="2"/>
  <c r="I254" i="2"/>
  <c r="K263" i="2"/>
  <c r="E264" i="2"/>
  <c r="K264" i="2"/>
  <c r="E265" i="2"/>
  <c r="K265" i="2"/>
  <c r="E267" i="2"/>
  <c r="I267" i="2"/>
  <c r="C268" i="2"/>
  <c r="I268" i="2"/>
  <c r="E278" i="2"/>
  <c r="K278" i="2"/>
  <c r="E279" i="2"/>
  <c r="K279" i="2"/>
  <c r="C281" i="2"/>
  <c r="I281" i="2"/>
  <c r="C282" i="2"/>
  <c r="I282" i="2"/>
  <c r="E292" i="2"/>
  <c r="K292" i="2"/>
  <c r="E293" i="2"/>
  <c r="K293" i="2"/>
  <c r="C295" i="2"/>
  <c r="I295" i="2"/>
  <c r="C296" i="2"/>
  <c r="I296" i="2"/>
  <c r="E306" i="2"/>
  <c r="K306" i="2"/>
  <c r="E307" i="2"/>
  <c r="K307" i="2"/>
  <c r="C309" i="2"/>
  <c r="I309" i="2"/>
  <c r="C310" i="2"/>
  <c r="I310" i="2"/>
  <c r="E320" i="2"/>
  <c r="K320" i="2"/>
  <c r="E321" i="2"/>
  <c r="K321" i="2"/>
  <c r="C323" i="2"/>
  <c r="K323" i="2"/>
  <c r="C324" i="2"/>
  <c r="K324" i="2"/>
  <c r="E334" i="2"/>
  <c r="K334" i="2"/>
  <c r="E335" i="2"/>
  <c r="K335" i="2"/>
  <c r="C337" i="2"/>
  <c r="I337" i="2"/>
  <c r="C338" i="2"/>
  <c r="I338" i="2"/>
  <c r="E348" i="2"/>
  <c r="K348" i="2"/>
  <c r="E349" i="2"/>
  <c r="K349" i="2"/>
  <c r="C351" i="2"/>
  <c r="I351" i="2"/>
  <c r="C352" i="2"/>
  <c r="I352" i="2"/>
  <c r="K361" i="2"/>
  <c r="E362" i="2"/>
  <c r="K362" i="2"/>
  <c r="E363" i="2"/>
  <c r="K363" i="2"/>
  <c r="C365" i="2"/>
  <c r="I365" i="2"/>
  <c r="C366" i="2"/>
  <c r="I366" i="2"/>
  <c r="E376" i="2"/>
  <c r="K376" i="2"/>
  <c r="E377" i="2"/>
  <c r="K377" i="2"/>
  <c r="C379" i="2"/>
  <c r="I379" i="2"/>
  <c r="C380" i="2"/>
  <c r="I380" i="2"/>
  <c r="E391" i="2"/>
  <c r="K391" i="2"/>
  <c r="C393" i="2"/>
  <c r="I393" i="2"/>
  <c r="C394" i="2"/>
  <c r="I394" i="2"/>
  <c r="E405" i="2"/>
  <c r="K405" i="2"/>
  <c r="C407" i="2"/>
  <c r="I407" i="2"/>
  <c r="C408" i="2"/>
  <c r="I408" i="2"/>
  <c r="E417" i="2"/>
  <c r="E418" i="2"/>
  <c r="E419" i="2"/>
  <c r="K419" i="2"/>
  <c r="C421" i="2"/>
  <c r="I421" i="2"/>
  <c r="C422" i="2"/>
  <c r="I422" i="2"/>
  <c r="E433" i="2"/>
  <c r="K433" i="2"/>
  <c r="C435" i="2"/>
  <c r="I435" i="2"/>
  <c r="C436" i="2"/>
  <c r="I436" i="2"/>
  <c r="E447" i="2"/>
  <c r="K447" i="2"/>
  <c r="C449" i="2"/>
  <c r="I449" i="2"/>
  <c r="C450" i="2"/>
  <c r="I450" i="2"/>
  <c r="E461" i="2"/>
  <c r="K461" i="2"/>
  <c r="C463" i="2"/>
  <c r="I463" i="2"/>
  <c r="C464" i="2"/>
  <c r="I464" i="2"/>
  <c r="K474" i="2"/>
  <c r="E475" i="2"/>
  <c r="K475" i="2"/>
  <c r="C477" i="2"/>
  <c r="I477" i="2"/>
  <c r="C478" i="2"/>
  <c r="I478" i="2"/>
  <c r="K488" i="2"/>
  <c r="E489" i="2"/>
  <c r="K489" i="2"/>
  <c r="C491" i="2"/>
  <c r="I491" i="2"/>
  <c r="C492" i="2"/>
  <c r="I492" i="2"/>
  <c r="E503" i="2"/>
  <c r="C505" i="2"/>
  <c r="C506" i="2"/>
  <c r="E516" i="2"/>
  <c r="E517" i="2"/>
  <c r="C519" i="2"/>
  <c r="C520" i="2"/>
  <c r="I14" i="3"/>
  <c r="I33" i="3" s="1"/>
  <c r="I16" i="3"/>
  <c r="I27" i="3" s="1"/>
  <c r="F20" i="3"/>
  <c r="I32" i="3" s="1"/>
  <c r="I26" i="3"/>
  <c r="I29" i="3" s="1"/>
  <c r="I28" i="3"/>
  <c r="I30" i="3"/>
  <c r="F32" i="3"/>
  <c r="I34" i="3"/>
  <c r="I38" i="3"/>
  <c r="I51" i="3"/>
  <c r="I70" i="3" s="1"/>
  <c r="I53" i="3"/>
  <c r="I64" i="3" s="1"/>
  <c r="F57" i="3"/>
  <c r="I69" i="3" s="1"/>
  <c r="I63" i="3"/>
  <c r="I65" i="3"/>
  <c r="I66" i="3"/>
  <c r="F69" i="3"/>
  <c r="I75" i="3"/>
  <c r="I88" i="3"/>
  <c r="I107" i="3" s="1"/>
  <c r="I90" i="3"/>
  <c r="I101" i="3" s="1"/>
  <c r="F94" i="3"/>
  <c r="I106" i="3" s="1"/>
  <c r="I100" i="3"/>
  <c r="I102" i="3"/>
  <c r="I103" i="3"/>
  <c r="F106" i="3"/>
  <c r="I112" i="3"/>
  <c r="I125" i="3"/>
  <c r="I144" i="3" s="1"/>
  <c r="I127" i="3"/>
  <c r="I138" i="3" s="1"/>
  <c r="F131" i="3"/>
  <c r="I143" i="3" s="1"/>
  <c r="I137" i="3"/>
  <c r="I139" i="3"/>
  <c r="I140" i="3"/>
  <c r="F143" i="3"/>
  <c r="I149" i="3"/>
  <c r="I164" i="3"/>
  <c r="I174" i="3"/>
  <c r="I177" i="3" s="1"/>
  <c r="I175" i="3"/>
  <c r="I176" i="3"/>
  <c r="F180" i="3"/>
  <c r="I180" i="3"/>
  <c r="I183" i="3" s="1"/>
  <c r="I186" i="3"/>
  <c r="I199" i="3"/>
  <c r="I218" i="3" s="1"/>
  <c r="I201" i="3"/>
  <c r="I212" i="3" s="1"/>
  <c r="F205" i="3"/>
  <c r="I217" i="3" s="1"/>
  <c r="I211" i="3"/>
  <c r="I213" i="3"/>
  <c r="I214" i="3"/>
  <c r="F217" i="3"/>
  <c r="I219" i="3"/>
  <c r="I223" i="3"/>
  <c r="I236" i="3"/>
  <c r="I255" i="3" s="1"/>
  <c r="I238" i="3"/>
  <c r="I249" i="3" s="1"/>
  <c r="F242" i="3"/>
  <c r="I254" i="3" s="1"/>
  <c r="I248" i="3"/>
  <c r="I250" i="3"/>
  <c r="I251" i="3"/>
  <c r="F254" i="3"/>
  <c r="I256" i="3"/>
  <c r="I260" i="3"/>
  <c r="I273" i="3"/>
  <c r="I275" i="3"/>
  <c r="I286" i="3" s="1"/>
  <c r="F279" i="3"/>
  <c r="I291" i="3" s="1"/>
  <c r="I285" i="3"/>
  <c r="I288" i="3" s="1"/>
  <c r="I287" i="3"/>
  <c r="F291" i="3"/>
  <c r="I292" i="3"/>
  <c r="I293" i="3"/>
  <c r="I297" i="3"/>
  <c r="I310" i="3"/>
  <c r="I329" i="3" s="1"/>
  <c r="I312" i="3"/>
  <c r="I323" i="3" s="1"/>
  <c r="F316" i="3"/>
  <c r="I322" i="3"/>
  <c r="I325" i="3" s="1"/>
  <c r="I324" i="3"/>
  <c r="F328" i="3"/>
  <c r="I328" i="3"/>
  <c r="I334" i="3"/>
  <c r="I347" i="3"/>
  <c r="I366" i="3" s="1"/>
  <c r="I349" i="3"/>
  <c r="I360" i="3" s="1"/>
  <c r="F353" i="3"/>
  <c r="I365" i="3" s="1"/>
  <c r="I359" i="3"/>
  <c r="I361" i="3"/>
  <c r="I362" i="3"/>
  <c r="F365" i="3"/>
  <c r="I371" i="3"/>
  <c r="I384" i="3"/>
  <c r="I403" i="3" s="1"/>
  <c r="I386" i="3"/>
  <c r="I397" i="3" s="1"/>
  <c r="F390" i="3"/>
  <c r="I402" i="3" s="1"/>
  <c r="I396" i="3"/>
  <c r="I398" i="3"/>
  <c r="I399" i="3"/>
  <c r="F402" i="3"/>
  <c r="I404" i="3"/>
  <c r="I408" i="3"/>
  <c r="I423" i="3"/>
  <c r="I433" i="3"/>
  <c r="I436" i="3" s="1"/>
  <c r="I434" i="3"/>
  <c r="I435" i="3"/>
  <c r="I439" i="3"/>
  <c r="I442" i="3" s="1"/>
  <c r="I445" i="3"/>
  <c r="I460" i="3"/>
  <c r="I470" i="3"/>
  <c r="I473" i="3" s="1"/>
  <c r="I471" i="3"/>
  <c r="I472" i="3"/>
  <c r="I476" i="3"/>
  <c r="I479" i="3" s="1"/>
  <c r="I482" i="3"/>
  <c r="I507" i="3"/>
  <c r="I510" i="3" s="1"/>
  <c r="I508" i="3"/>
  <c r="I509" i="3"/>
  <c r="I513" i="3"/>
  <c r="I515" i="3"/>
  <c r="I519" i="3"/>
  <c r="D9" i="5"/>
  <c r="E9" i="5"/>
  <c r="K9" i="5"/>
  <c r="L9" i="5"/>
  <c r="D10" i="5"/>
  <c r="E10" i="5"/>
  <c r="K10" i="5"/>
  <c r="L10" i="5"/>
  <c r="D11" i="5"/>
  <c r="E11" i="5"/>
  <c r="K11" i="5"/>
  <c r="L11" i="5"/>
  <c r="D22" i="5"/>
  <c r="E22" i="5"/>
  <c r="K22" i="5"/>
  <c r="L22" i="5"/>
  <c r="D23" i="5"/>
  <c r="E23" i="5"/>
  <c r="K23" i="5"/>
  <c r="L23" i="5"/>
  <c r="D24" i="5"/>
  <c r="E24" i="5"/>
  <c r="K24" i="5"/>
  <c r="L24" i="5"/>
  <c r="D37" i="5"/>
  <c r="E37" i="5"/>
  <c r="K37" i="5"/>
  <c r="L37" i="5"/>
  <c r="D38" i="5"/>
  <c r="E38" i="5"/>
  <c r="K38" i="5"/>
  <c r="L38" i="5"/>
  <c r="D39" i="5"/>
  <c r="E39" i="5"/>
  <c r="K39" i="5"/>
  <c r="L39" i="5"/>
  <c r="D52" i="5"/>
  <c r="E52" i="5"/>
  <c r="K52" i="5"/>
  <c r="L52" i="5"/>
  <c r="D53" i="5"/>
  <c r="E53" i="5"/>
  <c r="K53" i="5"/>
  <c r="L53" i="5"/>
  <c r="D54" i="5"/>
  <c r="E54" i="5"/>
  <c r="D67" i="5"/>
  <c r="E67" i="5"/>
  <c r="K67" i="5"/>
  <c r="L67" i="5"/>
  <c r="D68" i="5"/>
  <c r="E68" i="5"/>
  <c r="K68" i="5"/>
  <c r="L68" i="5"/>
  <c r="D69" i="5"/>
  <c r="E69" i="5"/>
  <c r="D82" i="5"/>
  <c r="E82" i="5"/>
  <c r="K82" i="5"/>
  <c r="L82" i="5"/>
  <c r="D83" i="5"/>
  <c r="E83" i="5"/>
  <c r="K83" i="5"/>
  <c r="L83" i="5"/>
  <c r="D84" i="5"/>
  <c r="E84" i="5"/>
  <c r="D85" i="5"/>
  <c r="E85" i="5"/>
  <c r="D97" i="5"/>
  <c r="E97" i="5"/>
  <c r="D98" i="5"/>
  <c r="E98" i="5"/>
  <c r="D112" i="5"/>
  <c r="E112" i="5"/>
  <c r="D113" i="5"/>
  <c r="E113" i="5"/>
  <c r="C7" i="1"/>
  <c r="I7" i="1" s="1"/>
  <c r="D7" i="1"/>
  <c r="E7" i="1"/>
  <c r="C8" i="1"/>
  <c r="D8" i="1"/>
  <c r="E8" i="1"/>
  <c r="C9" i="1"/>
  <c r="D9" i="1"/>
  <c r="E9" i="1"/>
  <c r="C10" i="1"/>
  <c r="I10" i="1" s="1"/>
  <c r="D10" i="1"/>
  <c r="E10" i="1"/>
  <c r="C11" i="1"/>
  <c r="I11" i="1" s="1"/>
  <c r="D11" i="1"/>
  <c r="E11" i="1"/>
  <c r="C12" i="1"/>
  <c r="D12" i="1"/>
  <c r="E12" i="1"/>
  <c r="C13" i="1"/>
  <c r="D13" i="1"/>
  <c r="E13" i="1"/>
  <c r="C14" i="1"/>
  <c r="I14" i="1" s="1"/>
  <c r="D14" i="1"/>
  <c r="E14" i="1"/>
  <c r="C15" i="1"/>
  <c r="I15" i="1" s="1"/>
  <c r="D15" i="1"/>
  <c r="E15" i="1"/>
  <c r="C16" i="1"/>
  <c r="D16" i="1"/>
  <c r="E16" i="1"/>
  <c r="C17" i="1"/>
  <c r="D17" i="1"/>
  <c r="E17" i="1"/>
  <c r="C18" i="1"/>
  <c r="I18" i="1" s="1"/>
  <c r="D18" i="1"/>
  <c r="E18" i="1"/>
  <c r="C19" i="1"/>
  <c r="D19" i="1"/>
  <c r="E19" i="1"/>
  <c r="I19" i="1"/>
  <c r="C20" i="1"/>
  <c r="D20" i="1"/>
  <c r="E20" i="1"/>
  <c r="C21" i="1"/>
  <c r="D21" i="1"/>
  <c r="E21" i="1"/>
  <c r="C22" i="1"/>
  <c r="I22" i="1" s="1"/>
  <c r="D22" i="1"/>
  <c r="E22" i="1"/>
  <c r="C23" i="1"/>
  <c r="I23" i="1" s="1"/>
  <c r="D23" i="1"/>
  <c r="E23" i="1"/>
  <c r="C24" i="1"/>
  <c r="D24" i="1"/>
  <c r="E24" i="1"/>
  <c r="C25" i="1"/>
  <c r="D25" i="1"/>
  <c r="E25" i="1"/>
  <c r="C26" i="1"/>
  <c r="I26" i="1" s="1"/>
  <c r="D26" i="1"/>
  <c r="E26" i="1"/>
  <c r="C27" i="1"/>
  <c r="D27" i="1"/>
  <c r="E27" i="1"/>
  <c r="I27" i="1"/>
  <c r="C28" i="1"/>
  <c r="D28" i="1"/>
  <c r="E28" i="1"/>
  <c r="C29" i="1"/>
  <c r="D29" i="1"/>
  <c r="E29" i="1"/>
  <c r="C30" i="1"/>
  <c r="I30" i="1" s="1"/>
  <c r="D30" i="1"/>
  <c r="E30" i="1"/>
  <c r="C31" i="1"/>
  <c r="I31" i="1" s="1"/>
  <c r="D31" i="1"/>
  <c r="E31" i="1"/>
  <c r="C32" i="1"/>
  <c r="D32" i="1"/>
  <c r="E32" i="1"/>
  <c r="C33" i="1"/>
  <c r="D33" i="1"/>
  <c r="E33" i="1"/>
  <c r="C34" i="1"/>
  <c r="I34" i="1" s="1"/>
  <c r="D34" i="1"/>
  <c r="E34" i="1"/>
  <c r="C35" i="1"/>
  <c r="D35" i="1"/>
  <c r="E35" i="1"/>
  <c r="I35" i="1"/>
  <c r="C36" i="1"/>
  <c r="D36" i="1"/>
  <c r="E36" i="1"/>
  <c r="C37" i="1"/>
  <c r="D37" i="1"/>
  <c r="E37" i="1"/>
  <c r="C38" i="1"/>
  <c r="I38" i="1" s="1"/>
  <c r="D38" i="1"/>
  <c r="E38" i="1"/>
  <c r="C39" i="1"/>
  <c r="I39" i="1" s="1"/>
  <c r="D39" i="1"/>
  <c r="E39" i="1"/>
  <c r="C40" i="1"/>
  <c r="D40" i="1"/>
  <c r="E40" i="1"/>
  <c r="C41" i="1"/>
  <c r="D41" i="1"/>
  <c r="E41" i="1"/>
  <c r="C42" i="1"/>
  <c r="I42" i="1" s="1"/>
  <c r="D42" i="1"/>
  <c r="E42" i="1"/>
  <c r="C43" i="1"/>
  <c r="I43" i="1" s="1"/>
  <c r="D43" i="1"/>
  <c r="E43" i="1"/>
  <c r="C44" i="1"/>
  <c r="D44" i="1"/>
  <c r="E44" i="1"/>
  <c r="C45" i="1"/>
  <c r="D45" i="1"/>
  <c r="E45" i="1"/>
  <c r="C46" i="1"/>
  <c r="I46" i="1" s="1"/>
  <c r="D46" i="1"/>
  <c r="E46" i="1"/>
  <c r="C47" i="1"/>
  <c r="D47" i="1"/>
  <c r="E47" i="1"/>
  <c r="I47" i="1"/>
  <c r="C48" i="1"/>
  <c r="I48" i="1" s="1"/>
  <c r="D48" i="1"/>
  <c r="E48" i="1"/>
  <c r="C49" i="1"/>
  <c r="D49" i="1"/>
  <c r="E49" i="1"/>
  <c r="C50" i="1"/>
  <c r="I50" i="1" s="1"/>
  <c r="D50" i="1"/>
  <c r="E50" i="1"/>
  <c r="C51" i="1"/>
  <c r="D51" i="1"/>
  <c r="E51" i="1"/>
  <c r="I51" i="1"/>
  <c r="C52" i="1"/>
  <c r="I52" i="1" s="1"/>
  <c r="D52" i="1"/>
  <c r="E52" i="1"/>
  <c r="C53" i="1"/>
  <c r="D53" i="1"/>
  <c r="E53" i="1"/>
  <c r="C54" i="1"/>
  <c r="I54" i="1" s="1"/>
  <c r="D54" i="1"/>
  <c r="E54" i="1"/>
  <c r="F44" i="13" l="1"/>
  <c r="F82" i="5"/>
  <c r="M67" i="5"/>
  <c r="F67" i="5"/>
  <c r="F54" i="5"/>
  <c r="M53" i="5"/>
  <c r="F53" i="5"/>
  <c r="F11" i="5"/>
  <c r="I511" i="3"/>
  <c r="F47" i="1"/>
  <c r="G47" i="1" s="1"/>
  <c r="F35" i="1"/>
  <c r="G35" i="1" s="1"/>
  <c r="F19" i="1"/>
  <c r="G19" i="1" s="1"/>
  <c r="F51" i="1"/>
  <c r="F39" i="1"/>
  <c r="G39" i="1" s="1"/>
  <c r="F27" i="1"/>
  <c r="G27" i="1" s="1"/>
  <c r="F43" i="1"/>
  <c r="F31" i="1"/>
  <c r="G31" i="1" s="1"/>
  <c r="F23" i="1"/>
  <c r="F15" i="1"/>
  <c r="G15" i="1" s="1"/>
  <c r="F37" i="5"/>
  <c r="F23" i="5"/>
  <c r="M22" i="5"/>
  <c r="F22" i="5"/>
  <c r="M11" i="5"/>
  <c r="I516" i="3"/>
  <c r="F46" i="8"/>
  <c r="F12" i="8"/>
  <c r="M62" i="11"/>
  <c r="F62" i="11"/>
  <c r="M45" i="11"/>
  <c r="F45" i="11"/>
  <c r="F11" i="11"/>
  <c r="M63" i="9"/>
  <c r="F63" i="9"/>
  <c r="M46" i="9"/>
  <c r="F44" i="7"/>
  <c r="F31" i="7"/>
  <c r="M30" i="7"/>
  <c r="F30" i="7"/>
  <c r="M29" i="7"/>
  <c r="F29" i="7"/>
  <c r="F27" i="7"/>
  <c r="M14" i="7"/>
  <c r="F14" i="7"/>
  <c r="F12" i="7"/>
  <c r="M11" i="7"/>
  <c r="F11" i="7"/>
  <c r="M10" i="7"/>
  <c r="F10" i="7"/>
  <c r="F11" i="1"/>
  <c r="H11" i="1" s="1"/>
  <c r="F113" i="5"/>
  <c r="F112" i="5"/>
  <c r="F84" i="5"/>
  <c r="M83" i="5"/>
  <c r="F83" i="5"/>
  <c r="M82" i="5"/>
  <c r="M86" i="5" s="1"/>
  <c r="M91" i="5" s="1"/>
  <c r="F39" i="5"/>
  <c r="M38" i="5"/>
  <c r="F38" i="5"/>
  <c r="M37" i="5"/>
  <c r="F9" i="5"/>
  <c r="I289" i="3"/>
  <c r="I252" i="3"/>
  <c r="C57" i="2"/>
  <c r="I15" i="2"/>
  <c r="F44" i="6"/>
  <c r="M30" i="6"/>
  <c r="F30" i="6"/>
  <c r="F28" i="6"/>
  <c r="M27" i="6"/>
  <c r="F27" i="6"/>
  <c r="M13" i="6"/>
  <c r="F13" i="6"/>
  <c r="M12" i="6"/>
  <c r="F12" i="6"/>
  <c r="F10" i="6"/>
  <c r="M62" i="10"/>
  <c r="F62" i="10"/>
  <c r="M45" i="10"/>
  <c r="F45" i="10"/>
  <c r="F11" i="10"/>
  <c r="M63" i="8"/>
  <c r="F63" i="8"/>
  <c r="M46" i="8"/>
  <c r="F29" i="9"/>
  <c r="M12" i="9"/>
  <c r="F12" i="9"/>
  <c r="F82" i="7"/>
  <c r="F81" i="7"/>
  <c r="F80" i="7"/>
  <c r="F79" i="7"/>
  <c r="F63" i="7"/>
  <c r="F46" i="7"/>
  <c r="M45" i="7"/>
  <c r="F45" i="7"/>
  <c r="M44" i="7"/>
  <c r="F79" i="13"/>
  <c r="F78" i="13"/>
  <c r="F62" i="13"/>
  <c r="M61" i="13"/>
  <c r="F61" i="13"/>
  <c r="M45" i="13"/>
  <c r="F45" i="13"/>
  <c r="F48" i="13" s="1"/>
  <c r="M44" i="13"/>
  <c r="M48" i="13" s="1"/>
  <c r="F28" i="13"/>
  <c r="F7" i="1"/>
  <c r="G7" i="1" s="1"/>
  <c r="F82" i="12"/>
  <c r="F88" i="12" s="1"/>
  <c r="I368" i="3"/>
  <c r="I109" i="3"/>
  <c r="F53" i="1"/>
  <c r="J53" i="1" s="1"/>
  <c r="F49" i="1"/>
  <c r="J49" i="1" s="1"/>
  <c r="F45" i="1"/>
  <c r="J45" i="1" s="1"/>
  <c r="F44" i="1"/>
  <c r="K44" i="1" s="1"/>
  <c r="F41" i="1"/>
  <c r="G41" i="1" s="1"/>
  <c r="F37" i="1"/>
  <c r="H37" i="1" s="1"/>
  <c r="F33" i="1"/>
  <c r="H33" i="1" s="1"/>
  <c r="F32" i="1"/>
  <c r="G32" i="1" s="1"/>
  <c r="F29" i="1"/>
  <c r="J29" i="1" s="1"/>
  <c r="F25" i="1"/>
  <c r="G25" i="1" s="1"/>
  <c r="F24" i="1"/>
  <c r="K24" i="1" s="1"/>
  <c r="F21" i="1"/>
  <c r="G21" i="1" s="1"/>
  <c r="F17" i="1"/>
  <c r="G17" i="1" s="1"/>
  <c r="F16" i="1"/>
  <c r="G16" i="1" s="1"/>
  <c r="F13" i="1"/>
  <c r="G13" i="1" s="1"/>
  <c r="F12" i="1"/>
  <c r="G12" i="1" s="1"/>
  <c r="F9" i="1"/>
  <c r="G9" i="1" s="1"/>
  <c r="H49" i="1"/>
  <c r="G43" i="1"/>
  <c r="H43" i="1"/>
  <c r="J43" i="1"/>
  <c r="G33" i="1"/>
  <c r="J33" i="1"/>
  <c r="H31" i="1"/>
  <c r="G29" i="1"/>
  <c r="H29" i="1"/>
  <c r="H17" i="1"/>
  <c r="H15" i="1"/>
  <c r="J13" i="1"/>
  <c r="G11" i="1"/>
  <c r="J11" i="1"/>
  <c r="J9" i="1"/>
  <c r="G45" i="1"/>
  <c r="H45" i="1"/>
  <c r="J41" i="1"/>
  <c r="H53" i="1"/>
  <c r="G37" i="1"/>
  <c r="J37" i="1"/>
  <c r="J25" i="1"/>
  <c r="G23" i="1"/>
  <c r="H23" i="1"/>
  <c r="J23" i="1"/>
  <c r="H21" i="1"/>
  <c r="F48" i="1"/>
  <c r="J48" i="1" s="1"/>
  <c r="F36" i="1"/>
  <c r="G36" i="1" s="1"/>
  <c r="F20" i="1"/>
  <c r="G20" i="1" s="1"/>
  <c r="I67" i="3"/>
  <c r="F40" i="1"/>
  <c r="G40" i="1" s="1"/>
  <c r="F28" i="1"/>
  <c r="F8" i="1"/>
  <c r="K8" i="1" s="1"/>
  <c r="I331" i="3"/>
  <c r="I72" i="3"/>
  <c r="I35" i="3"/>
  <c r="I40" i="3" s="1"/>
  <c r="F65" i="13"/>
  <c r="I53" i="1"/>
  <c r="I49" i="1"/>
  <c r="J47" i="1"/>
  <c r="H47" i="1"/>
  <c r="F46" i="1"/>
  <c r="G46" i="1" s="1"/>
  <c r="I45" i="1"/>
  <c r="I44" i="1"/>
  <c r="F42" i="1"/>
  <c r="G42" i="1" s="1"/>
  <c r="I41" i="1"/>
  <c r="I40" i="1"/>
  <c r="J39" i="1"/>
  <c r="H39" i="1"/>
  <c r="F38" i="1"/>
  <c r="K38" i="1" s="1"/>
  <c r="I37" i="1"/>
  <c r="I36" i="1"/>
  <c r="J35" i="1"/>
  <c r="H35" i="1"/>
  <c r="F34" i="1"/>
  <c r="G34" i="1" s="1"/>
  <c r="I33" i="1"/>
  <c r="I32" i="1"/>
  <c r="F30" i="1"/>
  <c r="K30" i="1" s="1"/>
  <c r="I29" i="1"/>
  <c r="I28" i="1"/>
  <c r="J27" i="1"/>
  <c r="H27" i="1"/>
  <c r="F26" i="1"/>
  <c r="G26" i="1" s="1"/>
  <c r="I25" i="1"/>
  <c r="I24" i="1"/>
  <c r="F22" i="1"/>
  <c r="G22" i="1" s="1"/>
  <c r="I21" i="1"/>
  <c r="I20" i="1"/>
  <c r="J19" i="1"/>
  <c r="H19" i="1"/>
  <c r="F18" i="1"/>
  <c r="K18" i="1" s="1"/>
  <c r="I17" i="1"/>
  <c r="I16" i="1"/>
  <c r="F14" i="1"/>
  <c r="K14" i="1" s="1"/>
  <c r="I13" i="1"/>
  <c r="I12" i="1"/>
  <c r="F10" i="1"/>
  <c r="K10" i="1" s="1"/>
  <c r="I9" i="1"/>
  <c r="I8" i="1"/>
  <c r="J7" i="1"/>
  <c r="F98" i="5"/>
  <c r="F97" i="5"/>
  <c r="F85" i="5"/>
  <c r="F69" i="5"/>
  <c r="M68" i="5"/>
  <c r="M71" i="5" s="1"/>
  <c r="M76" i="5" s="1"/>
  <c r="F68" i="5"/>
  <c r="F71" i="5" s="1"/>
  <c r="F76" i="5" s="1"/>
  <c r="M52" i="5"/>
  <c r="F52" i="5"/>
  <c r="M39" i="5"/>
  <c r="M24" i="5"/>
  <c r="F24" i="5"/>
  <c r="F26" i="5" s="1"/>
  <c r="F31" i="5" s="1"/>
  <c r="M23" i="5"/>
  <c r="M10" i="5"/>
  <c r="F10" i="5"/>
  <c r="M9" i="5"/>
  <c r="I363" i="3"/>
  <c r="I373" i="3" s="1"/>
  <c r="I220" i="3"/>
  <c r="I178" i="3"/>
  <c r="I141" i="3"/>
  <c r="I146" i="3"/>
  <c r="M14" i="13"/>
  <c r="F14" i="13"/>
  <c r="I474" i="3"/>
  <c r="I484" i="3" s="1"/>
  <c r="I437" i="3"/>
  <c r="I447" i="3" s="1"/>
  <c r="I405" i="3"/>
  <c r="I400" i="3"/>
  <c r="I294" i="3"/>
  <c r="I257" i="3"/>
  <c r="I215" i="3"/>
  <c r="I104" i="3"/>
  <c r="M64" i="6"/>
  <c r="M66" i="6" s="1"/>
  <c r="M45" i="6"/>
  <c r="F45" i="6"/>
  <c r="M44" i="6"/>
  <c r="M49" i="6" s="1"/>
  <c r="M29" i="6"/>
  <c r="F29" i="6"/>
  <c r="M28" i="6"/>
  <c r="M11" i="6"/>
  <c r="F11" i="6"/>
  <c r="M10" i="6"/>
  <c r="M15" i="6" s="1"/>
  <c r="F79" i="10"/>
  <c r="M28" i="10"/>
  <c r="F28" i="10"/>
  <c r="M11" i="10"/>
  <c r="F80" i="8"/>
  <c r="M29" i="8"/>
  <c r="F29" i="8"/>
  <c r="M12" i="8"/>
  <c r="F79" i="11"/>
  <c r="M28" i="11"/>
  <c r="F28" i="11"/>
  <c r="M11" i="11"/>
  <c r="F80" i="9"/>
  <c r="M29" i="9"/>
  <c r="M65" i="7"/>
  <c r="M62" i="7"/>
  <c r="F62" i="7"/>
  <c r="F66" i="7" s="1"/>
  <c r="M61" i="7"/>
  <c r="M47" i="7"/>
  <c r="F47" i="7"/>
  <c r="M46" i="7"/>
  <c r="M31" i="7"/>
  <c r="M28" i="7"/>
  <c r="F28" i="7"/>
  <c r="M27" i="7"/>
  <c r="M32" i="7" s="1"/>
  <c r="M13" i="7"/>
  <c r="F13" i="7"/>
  <c r="F15" i="7" s="1"/>
  <c r="M12" i="7"/>
  <c r="M62" i="13"/>
  <c r="F27" i="13"/>
  <c r="M62" i="12"/>
  <c r="F62" i="12"/>
  <c r="M61" i="12"/>
  <c r="F61" i="12"/>
  <c r="M45" i="12"/>
  <c r="F45" i="12"/>
  <c r="F48" i="12" s="1"/>
  <c r="M44" i="12"/>
  <c r="M48" i="12" s="1"/>
  <c r="M54" i="12" s="1"/>
  <c r="F65" i="12"/>
  <c r="F66" i="6"/>
  <c r="F31" i="12"/>
  <c r="F37" i="12" s="1"/>
  <c r="M14" i="12"/>
  <c r="F71" i="12"/>
  <c r="M20" i="12"/>
  <c r="I188" i="3"/>
  <c r="F83" i="6"/>
  <c r="F54" i="12"/>
  <c r="G51" i="1"/>
  <c r="K51" i="1"/>
  <c r="K46" i="1"/>
  <c r="J46" i="1"/>
  <c r="K42" i="1"/>
  <c r="G38" i="1"/>
  <c r="J34" i="1"/>
  <c r="G30" i="1"/>
  <c r="H30" i="1"/>
  <c r="K22" i="1"/>
  <c r="G18" i="1"/>
  <c r="G14" i="1"/>
  <c r="H14" i="1"/>
  <c r="G10" i="1"/>
  <c r="H10" i="1"/>
  <c r="G53" i="1"/>
  <c r="K49" i="1"/>
  <c r="G44" i="1"/>
  <c r="H44" i="1"/>
  <c r="K40" i="1"/>
  <c r="K36" i="1"/>
  <c r="J36" i="1"/>
  <c r="K32" i="1"/>
  <c r="J32" i="1"/>
  <c r="G28" i="1"/>
  <c r="K28" i="1"/>
  <c r="H28" i="1"/>
  <c r="J28" i="1"/>
  <c r="G24" i="1"/>
  <c r="H24" i="1"/>
  <c r="J20" i="1"/>
  <c r="K16" i="1"/>
  <c r="J16" i="1"/>
  <c r="K12" i="1"/>
  <c r="J12" i="1"/>
  <c r="F54" i="1"/>
  <c r="F50" i="1"/>
  <c r="F52" i="1"/>
  <c r="J51" i="1"/>
  <c r="H51" i="1"/>
  <c r="I326" i="3"/>
  <c r="K47" i="1"/>
  <c r="K43" i="1"/>
  <c r="L43" i="1" s="1"/>
  <c r="M43" i="1" s="1"/>
  <c r="J459" i="2" s="1"/>
  <c r="K459" i="2" s="1"/>
  <c r="K39" i="1"/>
  <c r="K37" i="1"/>
  <c r="K35" i="1"/>
  <c r="K27" i="1"/>
  <c r="K25" i="1"/>
  <c r="K23" i="1"/>
  <c r="K21" i="1"/>
  <c r="K19" i="1"/>
  <c r="K15" i="1"/>
  <c r="K11" i="1"/>
  <c r="K7" i="1"/>
  <c r="C71" i="2"/>
  <c r="M31" i="12"/>
  <c r="M37" i="12" s="1"/>
  <c r="F14" i="12"/>
  <c r="M49" i="7" l="1"/>
  <c r="F15" i="6"/>
  <c r="M32" i="6"/>
  <c r="M65" i="13"/>
  <c r="F31" i="13"/>
  <c r="M56" i="5"/>
  <c r="M61" i="5" s="1"/>
  <c r="F86" i="5"/>
  <c r="F91" i="5" s="1"/>
  <c r="F56" i="5"/>
  <c r="F61" i="5" s="1"/>
  <c r="F13" i="5"/>
  <c r="F18" i="5" s="1"/>
  <c r="M26" i="5"/>
  <c r="M31" i="5" s="1"/>
  <c r="M41" i="5"/>
  <c r="M46" i="5" s="1"/>
  <c r="F101" i="5"/>
  <c r="F106" i="5" s="1"/>
  <c r="M15" i="7"/>
  <c r="I299" i="3"/>
  <c r="I410" i="3"/>
  <c r="I77" i="3"/>
  <c r="L35" i="7" s="1"/>
  <c r="M35" i="7" s="1"/>
  <c r="I262" i="3"/>
  <c r="F82" i="13"/>
  <c r="F83" i="7"/>
  <c r="F49" i="6"/>
  <c r="F116" i="5"/>
  <c r="F121" i="5" s="1"/>
  <c r="F32" i="7"/>
  <c r="F41" i="5"/>
  <c r="F46" i="5" s="1"/>
  <c r="J26" i="1"/>
  <c r="K26" i="1"/>
  <c r="L26" i="1" s="1"/>
  <c r="M26" i="1" s="1"/>
  <c r="K31" i="1"/>
  <c r="L19" i="1"/>
  <c r="M19" i="1" s="1"/>
  <c r="D150" i="2" s="1"/>
  <c r="E150" i="2" s="1"/>
  <c r="L39" i="1"/>
  <c r="M39" i="1" s="1"/>
  <c r="J9" i="2" s="1"/>
  <c r="K9" i="2" s="1"/>
  <c r="L47" i="1"/>
  <c r="M47" i="1" s="1"/>
  <c r="J207" i="2" s="1"/>
  <c r="K207" i="2" s="1"/>
  <c r="H8" i="1"/>
  <c r="H12" i="1"/>
  <c r="H16" i="1"/>
  <c r="K20" i="1"/>
  <c r="H32" i="1"/>
  <c r="J44" i="1"/>
  <c r="H48" i="1"/>
  <c r="G49" i="1"/>
  <c r="L49" i="1" s="1"/>
  <c r="M49" i="1" s="1"/>
  <c r="J458" i="2" s="1"/>
  <c r="K458" i="2" s="1"/>
  <c r="J10" i="1"/>
  <c r="H18" i="1"/>
  <c r="H26" i="1"/>
  <c r="K34" i="1"/>
  <c r="J42" i="1"/>
  <c r="J21" i="1"/>
  <c r="H25" i="1"/>
  <c r="J15" i="1"/>
  <c r="L15" i="1" s="1"/>
  <c r="M15" i="1" s="1"/>
  <c r="J31" i="1"/>
  <c r="L31" i="1" s="1"/>
  <c r="M31" i="1" s="1"/>
  <c r="L11" i="1"/>
  <c r="M11" i="1" s="1"/>
  <c r="J80" i="2" s="1"/>
  <c r="K80" i="2" s="1"/>
  <c r="K9" i="1"/>
  <c r="K13" i="1"/>
  <c r="K17" i="1"/>
  <c r="L21" i="1"/>
  <c r="M21" i="1" s="1"/>
  <c r="J291" i="2" s="1"/>
  <c r="K291" i="2" s="1"/>
  <c r="L25" i="1"/>
  <c r="M25" i="1" s="1"/>
  <c r="K29" i="1"/>
  <c r="K33" i="1"/>
  <c r="L33" i="1" s="1"/>
  <c r="M33" i="1" s="1"/>
  <c r="J137" i="2" s="1"/>
  <c r="K137" i="2" s="1"/>
  <c r="K41" i="1"/>
  <c r="K45" i="1"/>
  <c r="L45" i="1" s="1"/>
  <c r="M45" i="1" s="1"/>
  <c r="G8" i="1"/>
  <c r="H20" i="1"/>
  <c r="J24" i="1"/>
  <c r="L24" i="1" s="1"/>
  <c r="M24" i="1" s="1"/>
  <c r="J165" i="2" s="1"/>
  <c r="K165" i="2" s="1"/>
  <c r="J40" i="1"/>
  <c r="K53" i="1"/>
  <c r="L53" i="1" s="1"/>
  <c r="M53" i="1" s="1"/>
  <c r="J14" i="1"/>
  <c r="L14" i="1" s="1"/>
  <c r="M14" i="1" s="1"/>
  <c r="J22" i="1"/>
  <c r="J30" i="1"/>
  <c r="L30" i="1" s="1"/>
  <c r="M30" i="1" s="1"/>
  <c r="J486" i="2" s="1"/>
  <c r="K486" i="2" s="1"/>
  <c r="H38" i="1"/>
  <c r="H46" i="1"/>
  <c r="L46" i="1" s="1"/>
  <c r="M46" i="1" s="1"/>
  <c r="J193" i="2" s="1"/>
  <c r="K193" i="2" s="1"/>
  <c r="F49" i="7"/>
  <c r="F32" i="6"/>
  <c r="H7" i="1"/>
  <c r="H41" i="1"/>
  <c r="L41" i="1" s="1"/>
  <c r="M41" i="1" s="1"/>
  <c r="H9" i="1"/>
  <c r="H13" i="1"/>
  <c r="L13" i="1" s="1"/>
  <c r="M13" i="1" s="1"/>
  <c r="D514" i="2" s="1"/>
  <c r="E514" i="2" s="1"/>
  <c r="J17" i="1"/>
  <c r="L7" i="1"/>
  <c r="M7" i="1" s="1"/>
  <c r="L10" i="1"/>
  <c r="M10" i="1" s="1"/>
  <c r="M13" i="5"/>
  <c r="M18" i="5" s="1"/>
  <c r="M65" i="12"/>
  <c r="M71" i="12" s="1"/>
  <c r="I225" i="3"/>
  <c r="I114" i="3"/>
  <c r="E69" i="10" s="1"/>
  <c r="F69" i="10" s="1"/>
  <c r="I336" i="3"/>
  <c r="E86" i="10"/>
  <c r="F86" i="10" s="1"/>
  <c r="M66" i="7"/>
  <c r="H42" i="1"/>
  <c r="L42" i="1" s="1"/>
  <c r="M42" i="1" s="1"/>
  <c r="J375" i="2" s="1"/>
  <c r="K375" i="2" s="1"/>
  <c r="H40" i="1"/>
  <c r="L40" i="1" s="1"/>
  <c r="M40" i="1" s="1"/>
  <c r="J151" i="2" s="1"/>
  <c r="K151" i="2" s="1"/>
  <c r="J38" i="1"/>
  <c r="L37" i="1"/>
  <c r="M37" i="1" s="1"/>
  <c r="D347" i="2" s="1"/>
  <c r="E347" i="2" s="1"/>
  <c r="H36" i="1"/>
  <c r="L36" i="1" s="1"/>
  <c r="M36" i="1" s="1"/>
  <c r="L35" i="1"/>
  <c r="M35" i="1" s="1"/>
  <c r="H34" i="1"/>
  <c r="L32" i="1"/>
  <c r="M32" i="1" s="1"/>
  <c r="D403" i="2" s="1"/>
  <c r="E403" i="2" s="1"/>
  <c r="L29" i="1"/>
  <c r="M29" i="1" s="1"/>
  <c r="L27" i="1"/>
  <c r="M27" i="1" s="1"/>
  <c r="L23" i="1"/>
  <c r="M23" i="1" s="1"/>
  <c r="D193" i="2" s="1"/>
  <c r="E193" i="2" s="1"/>
  <c r="H22" i="1"/>
  <c r="J18" i="1"/>
  <c r="L18" i="1" s="1"/>
  <c r="M18" i="1" s="1"/>
  <c r="D165" i="2" s="1"/>
  <c r="E165" i="2" s="1"/>
  <c r="L16" i="1"/>
  <c r="M16" i="1" s="1"/>
  <c r="J14" i="2" s="1"/>
  <c r="K14" i="2" s="1"/>
  <c r="L9" i="1"/>
  <c r="M9" i="1" s="1"/>
  <c r="J319" i="2" s="1"/>
  <c r="K319" i="2" s="1"/>
  <c r="J8" i="1"/>
  <c r="G48" i="1"/>
  <c r="K48" i="1"/>
  <c r="L12" i="1"/>
  <c r="M12" i="1" s="1"/>
  <c r="D80" i="2" s="1"/>
  <c r="E80" i="2" s="1"/>
  <c r="L28" i="1"/>
  <c r="M28" i="1" s="1"/>
  <c r="L44" i="1"/>
  <c r="M44" i="1" s="1"/>
  <c r="J295" i="2" s="1"/>
  <c r="K295" i="2" s="1"/>
  <c r="I151" i="3"/>
  <c r="J122" i="2"/>
  <c r="K122" i="2" s="1"/>
  <c r="D151" i="2"/>
  <c r="E151" i="2" s="1"/>
  <c r="J192" i="2"/>
  <c r="K192" i="2" s="1"/>
  <c r="J487" i="2"/>
  <c r="K487" i="2" s="1"/>
  <c r="D402" i="2"/>
  <c r="E402" i="2" s="1"/>
  <c r="D179" i="2"/>
  <c r="E179" i="2" s="1"/>
  <c r="J23" i="2"/>
  <c r="K23" i="2" s="1"/>
  <c r="D65" i="2"/>
  <c r="E65" i="2" s="1"/>
  <c r="J94" i="2"/>
  <c r="K94" i="2" s="1"/>
  <c r="D122" i="2"/>
  <c r="E122" i="2" s="1"/>
  <c r="D9" i="2"/>
  <c r="E9" i="2" s="1"/>
  <c r="D37" i="2"/>
  <c r="E37" i="2" s="1"/>
  <c r="J277" i="2"/>
  <c r="K277" i="2" s="1"/>
  <c r="D291" i="2"/>
  <c r="E291" i="2" s="1"/>
  <c r="D319" i="2"/>
  <c r="E319" i="2" s="1"/>
  <c r="J347" i="2"/>
  <c r="K347" i="2" s="1"/>
  <c r="D361" i="2"/>
  <c r="E361" i="2" s="1"/>
  <c r="D487" i="2"/>
  <c r="E487" i="2" s="1"/>
  <c r="D389" i="2"/>
  <c r="E389" i="2" s="1"/>
  <c r="D404" i="2"/>
  <c r="E404" i="2" s="1"/>
  <c r="D416" i="2"/>
  <c r="E416" i="2" s="1"/>
  <c r="D431" i="2"/>
  <c r="E431" i="2" s="1"/>
  <c r="D445" i="2"/>
  <c r="E445" i="2" s="1"/>
  <c r="J460" i="2"/>
  <c r="K460" i="2" s="1"/>
  <c r="D502" i="2"/>
  <c r="E502" i="2" s="1"/>
  <c r="J65" i="2"/>
  <c r="K65" i="2" s="1"/>
  <c r="D164" i="2"/>
  <c r="E164" i="2" s="1"/>
  <c r="J178" i="2"/>
  <c r="K178" i="2" s="1"/>
  <c r="J206" i="2"/>
  <c r="K206" i="2" s="1"/>
  <c r="J220" i="2"/>
  <c r="K220" i="2" s="1"/>
  <c r="D276" i="2"/>
  <c r="E276" i="2" s="1"/>
  <c r="J318" i="2"/>
  <c r="K318" i="2" s="1"/>
  <c r="D346" i="2"/>
  <c r="E346" i="2" s="1"/>
  <c r="D515" i="2"/>
  <c r="E515" i="2" s="1"/>
  <c r="D234" i="2"/>
  <c r="E234" i="2" s="1"/>
  <c r="J234" i="2"/>
  <c r="K234" i="2" s="1"/>
  <c r="J248" i="2"/>
  <c r="K248" i="2" s="1"/>
  <c r="D262" i="2"/>
  <c r="E262" i="2" s="1"/>
  <c r="J374" i="2"/>
  <c r="K374" i="2" s="1"/>
  <c r="J418" i="2"/>
  <c r="K418" i="2" s="1"/>
  <c r="J305" i="2"/>
  <c r="K305" i="2" s="1"/>
  <c r="J123" i="2"/>
  <c r="K123" i="2" s="1"/>
  <c r="J309" i="2"/>
  <c r="K309" i="2" s="1"/>
  <c r="H50" i="1"/>
  <c r="J50" i="1"/>
  <c r="G50" i="1"/>
  <c r="K50" i="1"/>
  <c r="J28" i="2"/>
  <c r="K28" i="2" s="1"/>
  <c r="D56" i="2"/>
  <c r="E56" i="2" s="1"/>
  <c r="J85" i="2"/>
  <c r="K85" i="2" s="1"/>
  <c r="J113" i="2"/>
  <c r="K113" i="2" s="1"/>
  <c r="J141" i="2"/>
  <c r="K141" i="2" s="1"/>
  <c r="D28" i="2"/>
  <c r="E28" i="2" s="1"/>
  <c r="J56" i="2"/>
  <c r="K56" i="2" s="1"/>
  <c r="D85" i="2"/>
  <c r="E85" i="2" s="1"/>
  <c r="D113" i="2"/>
  <c r="E113" i="2" s="1"/>
  <c r="D141" i="2"/>
  <c r="E141" i="2" s="1"/>
  <c r="J211" i="2"/>
  <c r="K211" i="2" s="1"/>
  <c r="D491" i="2"/>
  <c r="E491" i="2" s="1"/>
  <c r="D169" i="2"/>
  <c r="E169" i="2" s="1"/>
  <c r="D197" i="2"/>
  <c r="E197" i="2" s="1"/>
  <c r="J365" i="2"/>
  <c r="K365" i="2" s="1"/>
  <c r="J179" i="2"/>
  <c r="K179" i="2" s="1"/>
  <c r="D500" i="2"/>
  <c r="E500" i="2" s="1"/>
  <c r="L51" i="1"/>
  <c r="M51" i="1" s="1"/>
  <c r="L18" i="7"/>
  <c r="M18" i="7" s="1"/>
  <c r="E69" i="7"/>
  <c r="F69" i="7" s="1"/>
  <c r="L52" i="6"/>
  <c r="M52" i="6" s="1"/>
  <c r="H52" i="1"/>
  <c r="J52" i="1"/>
  <c r="G52" i="1"/>
  <c r="K52" i="1"/>
  <c r="H54" i="1"/>
  <c r="J54" i="1"/>
  <c r="G54" i="1"/>
  <c r="K54" i="1"/>
  <c r="E69" i="6" l="1"/>
  <c r="F69" i="6" s="1"/>
  <c r="E86" i="7"/>
  <c r="F86" i="7" s="1"/>
  <c r="L18" i="6"/>
  <c r="M18" i="6" s="1"/>
  <c r="E35" i="6"/>
  <c r="F35" i="6" s="1"/>
  <c r="E35" i="7"/>
  <c r="F35" i="7" s="1"/>
  <c r="L52" i="7"/>
  <c r="M52" i="7" s="1"/>
  <c r="L69" i="6"/>
  <c r="M69" i="6" s="1"/>
  <c r="L35" i="6"/>
  <c r="M35" i="6" s="1"/>
  <c r="E86" i="6"/>
  <c r="F86" i="6" s="1"/>
  <c r="E52" i="6"/>
  <c r="F52" i="6" s="1"/>
  <c r="E18" i="6"/>
  <c r="F18" i="6" s="1"/>
  <c r="E52" i="7"/>
  <c r="F52" i="7" s="1"/>
  <c r="E18" i="7"/>
  <c r="F18" i="7" s="1"/>
  <c r="L69" i="7"/>
  <c r="M69" i="7" s="1"/>
  <c r="L70" i="9"/>
  <c r="M70" i="9" s="1"/>
  <c r="E19" i="8"/>
  <c r="F19" i="8" s="1"/>
  <c r="E69" i="11"/>
  <c r="F69" i="11" s="1"/>
  <c r="E18" i="10"/>
  <c r="F18" i="10" s="1"/>
  <c r="E35" i="11"/>
  <c r="F35" i="11" s="1"/>
  <c r="E19" i="9"/>
  <c r="F19" i="9" s="1"/>
  <c r="E70" i="8"/>
  <c r="F70" i="8" s="1"/>
  <c r="E52" i="10"/>
  <c r="F52" i="10" s="1"/>
  <c r="D473" i="2"/>
  <c r="E473" i="2" s="1"/>
  <c r="D459" i="2"/>
  <c r="E459" i="2" s="1"/>
  <c r="J444" i="2"/>
  <c r="K444" i="2" s="1"/>
  <c r="J430" i="2"/>
  <c r="K430" i="2" s="1"/>
  <c r="J404" i="2"/>
  <c r="K404" i="2" s="1"/>
  <c r="J390" i="2"/>
  <c r="K390" i="2" s="1"/>
  <c r="D375" i="2"/>
  <c r="E375" i="2" s="1"/>
  <c r="J417" i="2"/>
  <c r="K417" i="2" s="1"/>
  <c r="J360" i="2"/>
  <c r="K360" i="2" s="1"/>
  <c r="J332" i="2"/>
  <c r="K332" i="2" s="1"/>
  <c r="D305" i="2"/>
  <c r="E305" i="2" s="1"/>
  <c r="J290" i="2"/>
  <c r="K290" i="2" s="1"/>
  <c r="D51" i="2"/>
  <c r="E51" i="2" s="1"/>
  <c r="D23" i="2"/>
  <c r="E23" i="2" s="1"/>
  <c r="D136" i="2"/>
  <c r="E136" i="2" s="1"/>
  <c r="D108" i="2"/>
  <c r="E108" i="2" s="1"/>
  <c r="D94" i="2"/>
  <c r="E94" i="2" s="1"/>
  <c r="J37" i="2"/>
  <c r="K37" i="2" s="1"/>
  <c r="D95" i="2"/>
  <c r="E95" i="2" s="1"/>
  <c r="D109" i="2"/>
  <c r="E109" i="2" s="1"/>
  <c r="D123" i="2"/>
  <c r="E123" i="2" s="1"/>
  <c r="J333" i="2"/>
  <c r="K333" i="2" s="1"/>
  <c r="D360" i="2"/>
  <c r="E360" i="2" s="1"/>
  <c r="D374" i="2"/>
  <c r="E374" i="2" s="1"/>
  <c r="J403" i="2"/>
  <c r="K403" i="2" s="1"/>
  <c r="D430" i="2"/>
  <c r="E430" i="2" s="1"/>
  <c r="E437" i="2" s="1"/>
  <c r="D458" i="2"/>
  <c r="E458" i="2" s="1"/>
  <c r="J473" i="2"/>
  <c r="K473" i="2" s="1"/>
  <c r="J81" i="2"/>
  <c r="K81" i="2" s="1"/>
  <c r="J95" i="2"/>
  <c r="K95" i="2" s="1"/>
  <c r="J109" i="2"/>
  <c r="K109" i="2" s="1"/>
  <c r="D137" i="2"/>
  <c r="E137" i="2" s="1"/>
  <c r="J346" i="2"/>
  <c r="K346" i="2" s="1"/>
  <c r="D486" i="2"/>
  <c r="E486" i="2" s="1"/>
  <c r="J389" i="2"/>
  <c r="K389" i="2" s="1"/>
  <c r="J416" i="2"/>
  <c r="K416" i="2" s="1"/>
  <c r="D444" i="2"/>
  <c r="E444" i="2" s="1"/>
  <c r="D472" i="2"/>
  <c r="E472" i="2" s="1"/>
  <c r="J15" i="2"/>
  <c r="K15" i="2" s="1"/>
  <c r="J29" i="2"/>
  <c r="K29" i="2" s="1"/>
  <c r="K30" i="2" s="1"/>
  <c r="J142" i="2"/>
  <c r="K142" i="2" s="1"/>
  <c r="D114" i="2"/>
  <c r="E114" i="2" s="1"/>
  <c r="D226" i="2"/>
  <c r="E226" i="2" s="1"/>
  <c r="J352" i="2"/>
  <c r="K352" i="2" s="1"/>
  <c r="D464" i="2"/>
  <c r="E464" i="2" s="1"/>
  <c r="D198" i="2"/>
  <c r="E198" i="2" s="1"/>
  <c r="D310" i="2"/>
  <c r="E310" i="2" s="1"/>
  <c r="J422" i="2"/>
  <c r="K422" i="2" s="1"/>
  <c r="J86" i="2"/>
  <c r="K86" i="2" s="1"/>
  <c r="J57" i="2"/>
  <c r="K57" i="2" s="1"/>
  <c r="J170" i="2"/>
  <c r="K170" i="2" s="1"/>
  <c r="J282" i="2"/>
  <c r="K282" i="2" s="1"/>
  <c r="D408" i="2"/>
  <c r="E408" i="2" s="1"/>
  <c r="D520" i="2"/>
  <c r="E520" i="2" s="1"/>
  <c r="J254" i="2"/>
  <c r="K254" i="2" s="1"/>
  <c r="J366" i="2"/>
  <c r="K366" i="2" s="1"/>
  <c r="K367" i="2" s="1"/>
  <c r="D478" i="2"/>
  <c r="E478" i="2" s="1"/>
  <c r="J450" i="2"/>
  <c r="K450" i="2" s="1"/>
  <c r="J394" i="2"/>
  <c r="K394" i="2" s="1"/>
  <c r="D338" i="2"/>
  <c r="E338" i="2" s="1"/>
  <c r="D282" i="2"/>
  <c r="E282" i="2" s="1"/>
  <c r="J226" i="2"/>
  <c r="K226" i="2" s="1"/>
  <c r="D170" i="2"/>
  <c r="E170" i="2" s="1"/>
  <c r="E171" i="2" s="1"/>
  <c r="D492" i="2"/>
  <c r="E492" i="2" s="1"/>
  <c r="D436" i="2"/>
  <c r="E436" i="2" s="1"/>
  <c r="D380" i="2"/>
  <c r="E380" i="2" s="1"/>
  <c r="J310" i="2"/>
  <c r="K310" i="2" s="1"/>
  <c r="D254" i="2"/>
  <c r="E254" i="2" s="1"/>
  <c r="J198" i="2"/>
  <c r="K198" i="2" s="1"/>
  <c r="K199" i="2" s="1"/>
  <c r="D142" i="2"/>
  <c r="E142" i="2" s="1"/>
  <c r="D86" i="2"/>
  <c r="E86" i="2" s="1"/>
  <c r="D29" i="2"/>
  <c r="E29" i="2" s="1"/>
  <c r="J114" i="2"/>
  <c r="K114" i="2" s="1"/>
  <c r="D57" i="2"/>
  <c r="E57" i="2" s="1"/>
  <c r="L34" i="1"/>
  <c r="M34" i="1" s="1"/>
  <c r="J281" i="2"/>
  <c r="K281" i="2" s="1"/>
  <c r="J351" i="2"/>
  <c r="K351" i="2" s="1"/>
  <c r="D379" i="2"/>
  <c r="E379" i="2" s="1"/>
  <c r="D407" i="2"/>
  <c r="E407" i="2" s="1"/>
  <c r="D449" i="2"/>
  <c r="E449" i="2" s="1"/>
  <c r="J477" i="2"/>
  <c r="K477" i="2" s="1"/>
  <c r="J239" i="2"/>
  <c r="K239" i="2" s="1"/>
  <c r="D281" i="2"/>
  <c r="E281" i="2" s="1"/>
  <c r="D309" i="2"/>
  <c r="E309" i="2" s="1"/>
  <c r="J379" i="2"/>
  <c r="K379" i="2" s="1"/>
  <c r="J407" i="2"/>
  <c r="K407" i="2" s="1"/>
  <c r="J435" i="2"/>
  <c r="K435" i="2" s="1"/>
  <c r="J463" i="2"/>
  <c r="K463" i="2" s="1"/>
  <c r="J491" i="2"/>
  <c r="K491" i="2" s="1"/>
  <c r="D519" i="2"/>
  <c r="E519" i="2" s="1"/>
  <c r="J267" i="2"/>
  <c r="K267" i="2" s="1"/>
  <c r="J337" i="2"/>
  <c r="K337" i="2" s="1"/>
  <c r="D365" i="2"/>
  <c r="E365" i="2" s="1"/>
  <c r="D393" i="2"/>
  <c r="E393" i="2" s="1"/>
  <c r="D435" i="2"/>
  <c r="E435" i="2" s="1"/>
  <c r="D463" i="2"/>
  <c r="E463" i="2" s="1"/>
  <c r="J225" i="2"/>
  <c r="K225" i="2" s="1"/>
  <c r="J253" i="2"/>
  <c r="K253" i="2" s="1"/>
  <c r="D295" i="2"/>
  <c r="E295" i="2" s="1"/>
  <c r="D323" i="2"/>
  <c r="E323" i="2" s="1"/>
  <c r="J393" i="2"/>
  <c r="K393" i="2" s="1"/>
  <c r="J421" i="2"/>
  <c r="K421" i="2" s="1"/>
  <c r="J449" i="2"/>
  <c r="K449" i="2" s="1"/>
  <c r="D477" i="2"/>
  <c r="E477" i="2" s="1"/>
  <c r="D505" i="2"/>
  <c r="E505" i="2" s="1"/>
  <c r="D351" i="2"/>
  <c r="E351" i="2" s="1"/>
  <c r="K325" i="2"/>
  <c r="J326" i="2" s="1"/>
  <c r="K326" i="2" s="1"/>
  <c r="K327" i="2" s="1"/>
  <c r="J472" i="2"/>
  <c r="K472" i="2" s="1"/>
  <c r="J388" i="2"/>
  <c r="K388" i="2" s="1"/>
  <c r="J304" i="2"/>
  <c r="K304" i="2" s="1"/>
  <c r="K311" i="2" s="1"/>
  <c r="D178" i="2"/>
  <c r="E178" i="2" s="1"/>
  <c r="J51" i="2"/>
  <c r="K51" i="2" s="1"/>
  <c r="K58" i="2" s="1"/>
  <c r="D81" i="2"/>
  <c r="E81" i="2" s="1"/>
  <c r="E87" i="2" s="1"/>
  <c r="D88" i="2" s="1"/>
  <c r="E88" i="2" s="1"/>
  <c r="E89" i="2" s="1"/>
  <c r="L8" i="1"/>
  <c r="M8" i="1" s="1"/>
  <c r="L22" i="1"/>
  <c r="M22" i="1" s="1"/>
  <c r="L20" i="1"/>
  <c r="M20" i="1" s="1"/>
  <c r="L17" i="1"/>
  <c r="M17" i="1" s="1"/>
  <c r="J221" i="2"/>
  <c r="K221" i="2" s="1"/>
  <c r="D277" i="2"/>
  <c r="E277" i="2" s="1"/>
  <c r="D388" i="2"/>
  <c r="E388" i="2" s="1"/>
  <c r="D211" i="2"/>
  <c r="E211" i="2" s="1"/>
  <c r="D183" i="2"/>
  <c r="E183" i="2" s="1"/>
  <c r="D155" i="2"/>
  <c r="E155" i="2" s="1"/>
  <c r="D421" i="2"/>
  <c r="E421" i="2" s="1"/>
  <c r="J155" i="2"/>
  <c r="K155" i="2" s="1"/>
  <c r="D127" i="2"/>
  <c r="E127" i="2" s="1"/>
  <c r="D99" i="2"/>
  <c r="E99" i="2" s="1"/>
  <c r="D70" i="2"/>
  <c r="E70" i="2" s="1"/>
  <c r="D42" i="2"/>
  <c r="E42" i="2" s="1"/>
  <c r="D14" i="2"/>
  <c r="E14" i="2" s="1"/>
  <c r="J127" i="2"/>
  <c r="K127" i="2" s="1"/>
  <c r="J99" i="2"/>
  <c r="K99" i="2" s="1"/>
  <c r="J70" i="2"/>
  <c r="K70" i="2" s="1"/>
  <c r="J42" i="2"/>
  <c r="K42" i="2" s="1"/>
  <c r="D337" i="2"/>
  <c r="E337" i="2" s="1"/>
  <c r="J492" i="2"/>
  <c r="K492" i="2" s="1"/>
  <c r="J464" i="2"/>
  <c r="K464" i="2" s="1"/>
  <c r="J436" i="2"/>
  <c r="K436" i="2" s="1"/>
  <c r="J408" i="2"/>
  <c r="K408" i="2" s="1"/>
  <c r="J380" i="2"/>
  <c r="K380" i="2" s="1"/>
  <c r="D352" i="2"/>
  <c r="E352" i="2" s="1"/>
  <c r="D324" i="2"/>
  <c r="E324" i="2" s="1"/>
  <c r="D296" i="2"/>
  <c r="E296" i="2" s="1"/>
  <c r="D268" i="2"/>
  <c r="E268" i="2" s="1"/>
  <c r="J240" i="2"/>
  <c r="K240" i="2" s="1"/>
  <c r="D212" i="2"/>
  <c r="E212" i="2" s="1"/>
  <c r="D184" i="2"/>
  <c r="E184" i="2" s="1"/>
  <c r="D156" i="2"/>
  <c r="E156" i="2" s="1"/>
  <c r="D506" i="2"/>
  <c r="E506" i="2" s="1"/>
  <c r="J478" i="2"/>
  <c r="K478" i="2" s="1"/>
  <c r="D450" i="2"/>
  <c r="E450" i="2" s="1"/>
  <c r="D422" i="2"/>
  <c r="E422" i="2" s="1"/>
  <c r="D394" i="2"/>
  <c r="E394" i="2" s="1"/>
  <c r="D366" i="2"/>
  <c r="E366" i="2" s="1"/>
  <c r="J338" i="2"/>
  <c r="K338" i="2" s="1"/>
  <c r="J296" i="2"/>
  <c r="K296" i="2" s="1"/>
  <c r="K297" i="2" s="1"/>
  <c r="J268" i="2"/>
  <c r="K268" i="2" s="1"/>
  <c r="D240" i="2"/>
  <c r="E240" i="2" s="1"/>
  <c r="J212" i="2"/>
  <c r="K212" i="2" s="1"/>
  <c r="K213" i="2" s="1"/>
  <c r="J184" i="2"/>
  <c r="K184" i="2" s="1"/>
  <c r="K185" i="2" s="1"/>
  <c r="J156" i="2"/>
  <c r="K156" i="2" s="1"/>
  <c r="D128" i="2"/>
  <c r="E128" i="2" s="1"/>
  <c r="D100" i="2"/>
  <c r="E100" i="2" s="1"/>
  <c r="E101" i="2" s="1"/>
  <c r="D71" i="2"/>
  <c r="E71" i="2" s="1"/>
  <c r="D43" i="2"/>
  <c r="E43" i="2" s="1"/>
  <c r="D15" i="2"/>
  <c r="E15" i="2" s="1"/>
  <c r="J128" i="2"/>
  <c r="K128" i="2" s="1"/>
  <c r="J100" i="2"/>
  <c r="K100" i="2" s="1"/>
  <c r="J71" i="2"/>
  <c r="K71" i="2" s="1"/>
  <c r="K72" i="2" s="1"/>
  <c r="J43" i="2"/>
  <c r="K43" i="2" s="1"/>
  <c r="D501" i="2"/>
  <c r="E501" i="2" s="1"/>
  <c r="J402" i="2"/>
  <c r="K402" i="2" s="1"/>
  <c r="D390" i="2"/>
  <c r="E390" i="2" s="1"/>
  <c r="D248" i="2"/>
  <c r="E248" i="2" s="1"/>
  <c r="D332" i="2"/>
  <c r="E332" i="2" s="1"/>
  <c r="D206" i="2"/>
  <c r="E206" i="2" s="1"/>
  <c r="D192" i="2"/>
  <c r="E192" i="2" s="1"/>
  <c r="J164" i="2"/>
  <c r="K164" i="2" s="1"/>
  <c r="K171" i="2" s="1"/>
  <c r="J150" i="2"/>
  <c r="K150" i="2" s="1"/>
  <c r="J136" i="2"/>
  <c r="K136" i="2" s="1"/>
  <c r="K143" i="2" s="1"/>
  <c r="J108" i="2"/>
  <c r="K108" i="2" s="1"/>
  <c r="K115" i="2" s="1"/>
  <c r="L38" i="1"/>
  <c r="M38" i="1" s="1"/>
  <c r="D333" i="2" s="1"/>
  <c r="E333" i="2" s="1"/>
  <c r="E18" i="11"/>
  <c r="F18" i="11" s="1"/>
  <c r="E52" i="11"/>
  <c r="F52" i="11" s="1"/>
  <c r="E86" i="11"/>
  <c r="F86" i="11" s="1"/>
  <c r="E53" i="9"/>
  <c r="F53" i="9" s="1"/>
  <c r="L36" i="8"/>
  <c r="M36" i="8" s="1"/>
  <c r="L70" i="8"/>
  <c r="M70" i="8" s="1"/>
  <c r="E35" i="10"/>
  <c r="F35" i="10" s="1"/>
  <c r="L36" i="9"/>
  <c r="M36" i="9" s="1"/>
  <c r="L19" i="9"/>
  <c r="M19" i="9" s="1"/>
  <c r="E87" i="9"/>
  <c r="F87" i="9" s="1"/>
  <c r="L35" i="11"/>
  <c r="M35" i="11" s="1"/>
  <c r="L69" i="11"/>
  <c r="M69" i="11" s="1"/>
  <c r="E36" i="9"/>
  <c r="F36" i="9" s="1"/>
  <c r="E36" i="8"/>
  <c r="F36" i="8" s="1"/>
  <c r="L53" i="8"/>
  <c r="M53" i="8" s="1"/>
  <c r="L18" i="10"/>
  <c r="M18" i="10" s="1"/>
  <c r="L52" i="10"/>
  <c r="M52" i="10" s="1"/>
  <c r="L53" i="9"/>
  <c r="M53" i="9" s="1"/>
  <c r="L18" i="11"/>
  <c r="M18" i="11" s="1"/>
  <c r="L52" i="11"/>
  <c r="M52" i="11" s="1"/>
  <c r="L19" i="8"/>
  <c r="M19" i="8" s="1"/>
  <c r="E70" i="9"/>
  <c r="F70" i="9" s="1"/>
  <c r="E53" i="8"/>
  <c r="F53" i="8" s="1"/>
  <c r="E87" i="8"/>
  <c r="F87" i="8" s="1"/>
  <c r="L35" i="10"/>
  <c r="M35" i="10" s="1"/>
  <c r="L69" i="10"/>
  <c r="M69" i="10" s="1"/>
  <c r="L52" i="1"/>
  <c r="M52" i="1" s="1"/>
  <c r="L50" i="1"/>
  <c r="M50" i="1" s="1"/>
  <c r="D488" i="2" s="1"/>
  <c r="E488" i="2" s="1"/>
  <c r="E493" i="2" s="1"/>
  <c r="J276" i="2"/>
  <c r="K276" i="2" s="1"/>
  <c r="D304" i="2"/>
  <c r="E304" i="2" s="1"/>
  <c r="J262" i="2"/>
  <c r="K262" i="2" s="1"/>
  <c r="K269" i="2" s="1"/>
  <c r="D290" i="2"/>
  <c r="E290" i="2" s="1"/>
  <c r="D318" i="2"/>
  <c r="E318" i="2" s="1"/>
  <c r="E521" i="2"/>
  <c r="D522" i="2" s="1"/>
  <c r="E522" i="2" s="1"/>
  <c r="E523" i="2" s="1"/>
  <c r="J235" i="2"/>
  <c r="K235" i="2" s="1"/>
  <c r="J249" i="2"/>
  <c r="K249" i="2" s="1"/>
  <c r="K255" i="2" s="1"/>
  <c r="L54" i="1"/>
  <c r="M54" i="1" s="1"/>
  <c r="D207" i="2" s="1"/>
  <c r="E207" i="2" s="1"/>
  <c r="L48" i="1"/>
  <c r="M48" i="1" s="1"/>
  <c r="J432" i="2"/>
  <c r="K432" i="2" s="1"/>
  <c r="J446" i="2"/>
  <c r="K446" i="2" s="1"/>
  <c r="D474" i="2"/>
  <c r="E474" i="2" s="1"/>
  <c r="J431" i="2"/>
  <c r="K431" i="2" s="1"/>
  <c r="D432" i="2"/>
  <c r="E432" i="2" s="1"/>
  <c r="J445" i="2"/>
  <c r="K445" i="2" s="1"/>
  <c r="K87" i="2"/>
  <c r="D249" i="2"/>
  <c r="E249" i="2" s="1"/>
  <c r="D263" i="2"/>
  <c r="E263" i="2" s="1"/>
  <c r="E283" i="2"/>
  <c r="K16" i="2"/>
  <c r="E409" i="2"/>
  <c r="K129" i="2"/>
  <c r="E30" i="2" l="1"/>
  <c r="K101" i="2"/>
  <c r="J102" i="2" s="1"/>
  <c r="K102" i="2" s="1"/>
  <c r="K103" i="2" s="1"/>
  <c r="E479" i="2"/>
  <c r="E115" i="2"/>
  <c r="K423" i="2"/>
  <c r="K241" i="2"/>
  <c r="J242" i="2" s="1"/>
  <c r="K242" i="2" s="1"/>
  <c r="K243" i="2" s="1"/>
  <c r="K157" i="2"/>
  <c r="K339" i="2"/>
  <c r="J340" i="2" s="1"/>
  <c r="K340" i="2" s="1"/>
  <c r="K341" i="2" s="1"/>
  <c r="K465" i="2"/>
  <c r="J466" i="2" s="1"/>
  <c r="K466" i="2" s="1"/>
  <c r="K467" i="2" s="1"/>
  <c r="E367" i="2"/>
  <c r="D368" i="2" s="1"/>
  <c r="E368" i="2" s="1"/>
  <c r="E369" i="2" s="1"/>
  <c r="E311" i="2"/>
  <c r="E58" i="2"/>
  <c r="D59" i="2" s="1"/>
  <c r="E59" i="2" s="1"/>
  <c r="E60" i="2" s="1"/>
  <c r="E143" i="2"/>
  <c r="E381" i="2"/>
  <c r="D382" i="2" s="1"/>
  <c r="E382" i="2" s="1"/>
  <c r="E383" i="2" s="1"/>
  <c r="E213" i="2"/>
  <c r="K283" i="2"/>
  <c r="J284" i="2" s="1"/>
  <c r="K284" i="2" s="1"/>
  <c r="K285" i="2" s="1"/>
  <c r="E199" i="2"/>
  <c r="K353" i="2"/>
  <c r="E44" i="2"/>
  <c r="E185" i="2"/>
  <c r="E507" i="2"/>
  <c r="D508" i="2" s="1"/>
  <c r="E508" i="2" s="1"/>
  <c r="E509" i="2" s="1"/>
  <c r="K395" i="2"/>
  <c r="E339" i="2"/>
  <c r="K409" i="2"/>
  <c r="J410" i="2" s="1"/>
  <c r="K410" i="2" s="1"/>
  <c r="K411" i="2" s="1"/>
  <c r="K479" i="2"/>
  <c r="E157" i="2"/>
  <c r="D158" i="2" s="1"/>
  <c r="E158" i="2" s="1"/>
  <c r="E159" i="2" s="1"/>
  <c r="K381" i="2"/>
  <c r="K493" i="2"/>
  <c r="J494" i="2" s="1"/>
  <c r="K494" i="2" s="1"/>
  <c r="K495" i="2" s="1"/>
  <c r="K44" i="2"/>
  <c r="E16" i="2"/>
  <c r="D17" i="2" s="1"/>
  <c r="E17" i="2" s="1"/>
  <c r="E18" i="2" s="1"/>
  <c r="E423" i="2"/>
  <c r="E395" i="2"/>
  <c r="D396" i="2" s="1"/>
  <c r="E396" i="2" s="1"/>
  <c r="E397" i="2" s="1"/>
  <c r="K227" i="2"/>
  <c r="E353" i="2"/>
  <c r="D354" i="2" s="1"/>
  <c r="E354" i="2" s="1"/>
  <c r="E355" i="2" s="1"/>
  <c r="E325" i="2"/>
  <c r="E72" i="2"/>
  <c r="D73" i="2" s="1"/>
  <c r="E73" i="2" s="1"/>
  <c r="E74" i="2" s="1"/>
  <c r="E129" i="2"/>
  <c r="D130" i="2" s="1"/>
  <c r="E130" i="2" s="1"/>
  <c r="E131" i="2" s="1"/>
  <c r="D235" i="2"/>
  <c r="E235" i="2" s="1"/>
  <c r="E241" i="2" s="1"/>
  <c r="D242" i="2" s="1"/>
  <c r="E242" i="2" s="1"/>
  <c r="E243" i="2" s="1"/>
  <c r="D220" i="2"/>
  <c r="E220" i="2" s="1"/>
  <c r="E227" i="2" s="1"/>
  <c r="D228" i="2" s="1"/>
  <c r="E228" i="2" s="1"/>
  <c r="E229" i="2" s="1"/>
  <c r="E269" i="2"/>
  <c r="K437" i="2"/>
  <c r="E297" i="2"/>
  <c r="D298" i="2" s="1"/>
  <c r="E298" i="2" s="1"/>
  <c r="E299" i="2" s="1"/>
  <c r="E255" i="2"/>
  <c r="D460" i="2"/>
  <c r="E460" i="2" s="1"/>
  <c r="E465" i="2" s="1"/>
  <c r="D466" i="2" s="1"/>
  <c r="E466" i="2" s="1"/>
  <c r="E467" i="2" s="1"/>
  <c r="D446" i="2"/>
  <c r="E446" i="2" s="1"/>
  <c r="E451" i="2" s="1"/>
  <c r="K451" i="2"/>
  <c r="J452" i="2" s="1"/>
  <c r="K452" i="2" s="1"/>
  <c r="K453" i="2" s="1"/>
  <c r="D256" i="2"/>
  <c r="E256" i="2" s="1"/>
  <c r="E257" i="2" s="1"/>
  <c r="D270" i="2"/>
  <c r="E270" i="2" s="1"/>
  <c r="E271" i="2" s="1"/>
  <c r="J130" i="2"/>
  <c r="K130" i="2" s="1"/>
  <c r="K131" i="2" s="1"/>
  <c r="D186" i="2"/>
  <c r="E186" i="2" s="1"/>
  <c r="E187" i="2" s="1"/>
  <c r="D410" i="2"/>
  <c r="E410" i="2" s="1"/>
  <c r="E411" i="2" s="1"/>
  <c r="J354" i="2"/>
  <c r="K354" i="2" s="1"/>
  <c r="K355" i="2" s="1"/>
  <c r="D480" i="2"/>
  <c r="E480" i="2" s="1"/>
  <c r="E481" i="2" s="1"/>
  <c r="D116" i="2"/>
  <c r="E116" i="2" s="1"/>
  <c r="E117" i="2" s="1"/>
  <c r="J298" i="2"/>
  <c r="K298" i="2" s="1"/>
  <c r="K299" i="2" s="1"/>
  <c r="J59" i="2"/>
  <c r="K59" i="2" s="1"/>
  <c r="K60" i="2" s="1"/>
  <c r="J200" i="2"/>
  <c r="K200" i="2" s="1"/>
  <c r="K201" i="2" s="1"/>
  <c r="J396" i="2"/>
  <c r="K396" i="2" s="1"/>
  <c r="K397" i="2" s="1"/>
  <c r="J480" i="2"/>
  <c r="K480" i="2" s="1"/>
  <c r="K481" i="2" s="1"/>
  <c r="D494" i="2"/>
  <c r="E494" i="2" s="1"/>
  <c r="E495" i="2" s="1"/>
  <c r="D452" i="2"/>
  <c r="E452" i="2" s="1"/>
  <c r="E453" i="2" s="1"/>
  <c r="J17" i="2"/>
  <c r="K17" i="2" s="1"/>
  <c r="K18" i="2" s="1"/>
  <c r="D102" i="2"/>
  <c r="E102" i="2" s="1"/>
  <c r="E103" i="2" s="1"/>
  <c r="D144" i="2"/>
  <c r="E144" i="2" s="1"/>
  <c r="E145" i="2" s="1"/>
  <c r="J438" i="2"/>
  <c r="K438" i="2" s="1"/>
  <c r="K439" i="2" s="1"/>
  <c r="J270" i="2"/>
  <c r="K270" i="2" s="1"/>
  <c r="K271" i="2" s="1"/>
  <c r="J214" i="2"/>
  <c r="K214" i="2" s="1"/>
  <c r="K215" i="2" s="1"/>
  <c r="J256" i="2"/>
  <c r="K256" i="2" s="1"/>
  <c r="K257" i="2" s="1"/>
  <c r="J88" i="2"/>
  <c r="K88" i="2" s="1"/>
  <c r="K89" i="2" s="1"/>
  <c r="J144" i="2"/>
  <c r="K144" i="2" s="1"/>
  <c r="K145" i="2" s="1"/>
  <c r="J172" i="2"/>
  <c r="K172" i="2" s="1"/>
  <c r="K173" i="2" s="1"/>
  <c r="D214" i="2"/>
  <c r="E214" i="2" s="1"/>
  <c r="E215" i="2" s="1"/>
  <c r="D438" i="2"/>
  <c r="E438" i="2" s="1"/>
  <c r="E439" i="2" s="1"/>
  <c r="J31" i="2"/>
  <c r="K31" i="2" s="1"/>
  <c r="K32" i="2" s="1"/>
  <c r="D424" i="2"/>
  <c r="E424" i="2" s="1"/>
  <c r="E425" i="2" s="1"/>
  <c r="D326" i="2"/>
  <c r="E326" i="2" s="1"/>
  <c r="E327" i="2" s="1"/>
  <c r="J186" i="2"/>
  <c r="K186" i="2" s="1"/>
  <c r="K187" i="2" s="1"/>
  <c r="J312" i="2"/>
  <c r="K312" i="2" s="1"/>
  <c r="K313" i="2" s="1"/>
  <c r="J424" i="2"/>
  <c r="K424" i="2" s="1"/>
  <c r="K425" i="2" s="1"/>
  <c r="J45" i="2"/>
  <c r="K45" i="2" s="1"/>
  <c r="K46" i="2" s="1"/>
  <c r="D31" i="2"/>
  <c r="E31" i="2" s="1"/>
  <c r="E32" i="2" s="1"/>
  <c r="J368" i="2"/>
  <c r="K368" i="2" s="1"/>
  <c r="K369" i="2" s="1"/>
  <c r="D312" i="2"/>
  <c r="E312" i="2" s="1"/>
  <c r="E313" i="2" s="1"/>
  <c r="D172" i="2"/>
  <c r="E172" i="2" s="1"/>
  <c r="E173" i="2" s="1"/>
  <c r="D284" i="2"/>
  <c r="E284" i="2" s="1"/>
  <c r="E285" i="2" s="1"/>
  <c r="J382" i="2"/>
  <c r="K382" i="2" s="1"/>
  <c r="K383" i="2" s="1"/>
  <c r="J116" i="2"/>
  <c r="K116" i="2" s="1"/>
  <c r="K117" i="2" s="1"/>
  <c r="J158" i="2"/>
  <c r="K158" i="2" s="1"/>
  <c r="K159" i="2" s="1"/>
  <c r="D200" i="2"/>
  <c r="E200" i="2" s="1"/>
  <c r="E201" i="2" s="1"/>
  <c r="D340" i="2"/>
  <c r="E340" i="2" s="1"/>
  <c r="E341" i="2" s="1"/>
  <c r="D45" i="2"/>
  <c r="E45" i="2" s="1"/>
  <c r="E46" i="2" s="1"/>
  <c r="J73" i="2"/>
  <c r="K73" i="2" s="1"/>
  <c r="K74" i="2" s="1"/>
  <c r="J228" i="2"/>
  <c r="K228" i="2" s="1"/>
  <c r="K229" i="2" s="1"/>
  <c r="E16" i="12" l="1"/>
  <c r="F16" i="12" s="1"/>
  <c r="F19" i="12" s="1"/>
  <c r="F20" i="12" s="1"/>
  <c r="E16" i="13"/>
  <c r="F16" i="13" s="1"/>
  <c r="F19" i="13" s="1"/>
  <c r="F20" i="13" s="1"/>
  <c r="L33" i="13"/>
  <c r="M33" i="13" s="1"/>
  <c r="M36" i="13" s="1"/>
  <c r="M37" i="13" s="1"/>
  <c r="L50" i="13"/>
  <c r="M50" i="13" s="1"/>
  <c r="M53" i="13" s="1"/>
  <c r="M54" i="13" s="1"/>
  <c r="L67" i="13"/>
  <c r="M67" i="13" s="1"/>
  <c r="M70" i="13" s="1"/>
  <c r="M71" i="13" s="1"/>
  <c r="E84" i="13"/>
  <c r="F84" i="13" s="1"/>
  <c r="F87" i="13" s="1"/>
  <c r="F88" i="13" s="1"/>
  <c r="L16" i="13"/>
  <c r="M16" i="13" s="1"/>
  <c r="M19" i="13" s="1"/>
  <c r="M20" i="13" s="1"/>
  <c r="E33" i="13"/>
  <c r="F33" i="13" s="1"/>
  <c r="F36" i="13" s="1"/>
  <c r="F37" i="13" s="1"/>
  <c r="E50" i="13"/>
  <c r="F50" i="13" s="1"/>
  <c r="F53" i="13" s="1"/>
  <c r="F54" i="13" s="1"/>
  <c r="E67" i="13"/>
  <c r="F67" i="13" s="1"/>
  <c r="F70" i="13" s="1"/>
  <c r="F71" i="13" s="1"/>
  <c r="L18" i="9"/>
  <c r="M18" i="9" s="1"/>
  <c r="L35" i="9"/>
  <c r="M35" i="9" s="1"/>
  <c r="L52" i="9"/>
  <c r="M52" i="9" s="1"/>
  <c r="L69" i="9"/>
  <c r="M69" i="9" s="1"/>
  <c r="L17" i="11"/>
  <c r="M17" i="11" s="1"/>
  <c r="L34" i="11"/>
  <c r="M34" i="11" s="1"/>
  <c r="L51" i="11"/>
  <c r="M51" i="11" s="1"/>
  <c r="L68" i="11"/>
  <c r="M68" i="11" s="1"/>
  <c r="E85" i="11"/>
  <c r="F85" i="11" s="1"/>
  <c r="L18" i="8"/>
  <c r="M18" i="8" s="1"/>
  <c r="E18" i="9"/>
  <c r="F18" i="9" s="1"/>
  <c r="E35" i="9"/>
  <c r="F35" i="9" s="1"/>
  <c r="E52" i="9"/>
  <c r="F52" i="9" s="1"/>
  <c r="E69" i="9"/>
  <c r="F69" i="9" s="1"/>
  <c r="E86" i="9"/>
  <c r="F86" i="9" s="1"/>
  <c r="E17" i="11"/>
  <c r="F17" i="11" s="1"/>
  <c r="E34" i="11"/>
  <c r="F34" i="11" s="1"/>
  <c r="E51" i="11"/>
  <c r="F51" i="11" s="1"/>
  <c r="E68" i="11"/>
  <c r="F68" i="11" s="1"/>
  <c r="E18" i="8"/>
  <c r="F18" i="8" s="1"/>
  <c r="E35" i="8"/>
  <c r="F35" i="8" s="1"/>
  <c r="E52" i="8"/>
  <c r="F52" i="8" s="1"/>
  <c r="L35" i="8"/>
  <c r="M35" i="8" s="1"/>
  <c r="L52" i="8"/>
  <c r="M52" i="8" s="1"/>
  <c r="E69" i="8"/>
  <c r="F69" i="8" s="1"/>
  <c r="E86" i="8"/>
  <c r="F86" i="8" s="1"/>
  <c r="E17" i="10"/>
  <c r="F17" i="10" s="1"/>
  <c r="E34" i="10"/>
  <c r="F34" i="10" s="1"/>
  <c r="E51" i="10"/>
  <c r="F51" i="10" s="1"/>
  <c r="E68" i="10"/>
  <c r="F68" i="10" s="1"/>
  <c r="L69" i="8"/>
  <c r="M69" i="8" s="1"/>
  <c r="L17" i="10"/>
  <c r="M17" i="10" s="1"/>
  <c r="L34" i="10"/>
  <c r="M34" i="10" s="1"/>
  <c r="L51" i="10"/>
  <c r="M51" i="10" s="1"/>
  <c r="L68" i="10"/>
  <c r="M68" i="10" s="1"/>
  <c r="E85" i="10"/>
  <c r="F85" i="10" s="1"/>
  <c r="L17" i="9"/>
  <c r="M17" i="9" s="1"/>
  <c r="M20" i="9" s="1"/>
  <c r="L34" i="9"/>
  <c r="M34" i="9" s="1"/>
  <c r="M37" i="9" s="1"/>
  <c r="L51" i="9"/>
  <c r="M51" i="9" s="1"/>
  <c r="M54" i="9" s="1"/>
  <c r="L68" i="9"/>
  <c r="M68" i="9" s="1"/>
  <c r="M71" i="9" s="1"/>
  <c r="E85" i="9"/>
  <c r="F85" i="9" s="1"/>
  <c r="F88" i="9" s="1"/>
  <c r="L17" i="8"/>
  <c r="M17" i="8" s="1"/>
  <c r="M20" i="8" s="1"/>
  <c r="E17" i="9"/>
  <c r="F17" i="9" s="1"/>
  <c r="F20" i="9" s="1"/>
  <c r="E34" i="9"/>
  <c r="F34" i="9" s="1"/>
  <c r="F37" i="9" s="1"/>
  <c r="E51" i="9"/>
  <c r="F51" i="9" s="1"/>
  <c r="F54" i="9" s="1"/>
  <c r="E68" i="9"/>
  <c r="F68" i="9" s="1"/>
  <c r="F71" i="9" s="1"/>
  <c r="E17" i="8"/>
  <c r="F17" i="8" s="1"/>
  <c r="E34" i="8"/>
  <c r="F34" i="8" s="1"/>
  <c r="E51" i="8"/>
  <c r="F51" i="8" s="1"/>
  <c r="L34" i="8"/>
  <c r="M34" i="8" s="1"/>
  <c r="L51" i="8"/>
  <c r="M51" i="8" s="1"/>
  <c r="E68" i="8"/>
  <c r="F68" i="8" s="1"/>
  <c r="L68" i="8"/>
  <c r="M68" i="8" s="1"/>
  <c r="M71" i="8" s="1"/>
  <c r="E85" i="8"/>
  <c r="F85" i="8" s="1"/>
  <c r="F88" i="8" s="1"/>
  <c r="L17" i="7"/>
  <c r="M17" i="7" s="1"/>
  <c r="M19" i="7" s="1"/>
  <c r="M20" i="7" s="1"/>
  <c r="L34" i="7"/>
  <c r="M34" i="7" s="1"/>
  <c r="M36" i="7" s="1"/>
  <c r="M37" i="7" s="1"/>
  <c r="L51" i="7"/>
  <c r="M51" i="7" s="1"/>
  <c r="M53" i="7" s="1"/>
  <c r="M54" i="7" s="1"/>
  <c r="L68" i="7"/>
  <c r="M68" i="7" s="1"/>
  <c r="M70" i="7" s="1"/>
  <c r="M71" i="7" s="1"/>
  <c r="E17" i="7"/>
  <c r="F17" i="7" s="1"/>
  <c r="F19" i="7" s="1"/>
  <c r="F20" i="7" s="1"/>
  <c r="E34" i="7"/>
  <c r="F34" i="7" s="1"/>
  <c r="F36" i="7" s="1"/>
  <c r="F37" i="7" s="1"/>
  <c r="E51" i="7"/>
  <c r="F51" i="7" s="1"/>
  <c r="F53" i="7" s="1"/>
  <c r="F54" i="7" s="1"/>
  <c r="E68" i="7"/>
  <c r="F68" i="7" s="1"/>
  <c r="F70" i="7" s="1"/>
  <c r="F71" i="7" s="1"/>
  <c r="E85" i="7"/>
  <c r="F85" i="7" s="1"/>
  <c r="F87" i="7" s="1"/>
  <c r="F88" i="7" s="1"/>
  <c r="E17" i="6"/>
  <c r="F17" i="6" s="1"/>
  <c r="F19" i="6" s="1"/>
  <c r="F20" i="6" s="1"/>
  <c r="E34" i="6"/>
  <c r="F34" i="6" s="1"/>
  <c r="F36" i="6" s="1"/>
  <c r="F37" i="6" s="1"/>
  <c r="E51" i="6"/>
  <c r="F51" i="6" s="1"/>
  <c r="F53" i="6" s="1"/>
  <c r="F54" i="6" s="1"/>
  <c r="E68" i="6"/>
  <c r="F68" i="6" s="1"/>
  <c r="F70" i="6" s="1"/>
  <c r="F71" i="6" s="1"/>
  <c r="L17" i="6"/>
  <c r="M17" i="6" s="1"/>
  <c r="M19" i="6" s="1"/>
  <c r="M20" i="6" s="1"/>
  <c r="L34" i="6"/>
  <c r="M34" i="6" s="1"/>
  <c r="M36" i="6" s="1"/>
  <c r="M37" i="6" s="1"/>
  <c r="L51" i="6"/>
  <c r="M51" i="6" s="1"/>
  <c r="M53" i="6" s="1"/>
  <c r="M54" i="6" s="1"/>
  <c r="L68" i="6"/>
  <c r="M68" i="6" s="1"/>
  <c r="M70" i="6" s="1"/>
  <c r="M71" i="6" s="1"/>
  <c r="E85" i="6"/>
  <c r="F85" i="6" s="1"/>
  <c r="F87" i="6" s="1"/>
  <c r="F88" i="6" s="1"/>
  <c r="E16" i="11"/>
  <c r="F16" i="11" s="1"/>
  <c r="L16" i="11"/>
  <c r="M16" i="11" s="1"/>
  <c r="E33" i="11"/>
  <c r="F33" i="11" s="1"/>
  <c r="F36" i="11" s="1"/>
  <c r="L33" i="11"/>
  <c r="M33" i="11" s="1"/>
  <c r="M36" i="11" s="1"/>
  <c r="E50" i="11"/>
  <c r="F50" i="11" s="1"/>
  <c r="L50" i="11"/>
  <c r="M50" i="11" s="1"/>
  <c r="E67" i="11"/>
  <c r="F67" i="11" s="1"/>
  <c r="F70" i="11" s="1"/>
  <c r="L67" i="11"/>
  <c r="M67" i="11" s="1"/>
  <c r="M70" i="11" s="1"/>
  <c r="E84" i="11"/>
  <c r="F84" i="11" s="1"/>
  <c r="F87" i="11" s="1"/>
  <c r="E84" i="10"/>
  <c r="F84" i="10" s="1"/>
  <c r="F87" i="10" s="1"/>
  <c r="E16" i="10"/>
  <c r="F16" i="10" s="1"/>
  <c r="F19" i="10" s="1"/>
  <c r="L16" i="10"/>
  <c r="M16" i="10" s="1"/>
  <c r="M19" i="10" s="1"/>
  <c r="E33" i="10"/>
  <c r="F33" i="10" s="1"/>
  <c r="L33" i="10"/>
  <c r="M33" i="10" s="1"/>
  <c r="E50" i="10"/>
  <c r="F50" i="10" s="1"/>
  <c r="F53" i="10" s="1"/>
  <c r="L50" i="10"/>
  <c r="M50" i="10" s="1"/>
  <c r="E67" i="10"/>
  <c r="F67" i="10" s="1"/>
  <c r="L67" i="10"/>
  <c r="M67" i="10" s="1"/>
  <c r="M53" i="10" l="1"/>
  <c r="M70" i="10"/>
  <c r="M36" i="10"/>
  <c r="M53" i="11"/>
  <c r="M19" i="11"/>
  <c r="F71" i="8"/>
  <c r="M37" i="8"/>
  <c r="F37" i="8"/>
  <c r="F70" i="10"/>
  <c r="F36" i="10"/>
  <c r="F53" i="11"/>
  <c r="F19" i="11"/>
  <c r="M54" i="8"/>
  <c r="F54" i="8"/>
  <c r="F20" i="8"/>
  <c r="L62" i="8"/>
  <c r="M62" i="8" s="1"/>
  <c r="M66" i="8" s="1"/>
  <c r="M72" i="8" s="1"/>
  <c r="L61" i="10"/>
  <c r="M61" i="10" s="1"/>
  <c r="M65" i="10" s="1"/>
  <c r="L28" i="8"/>
  <c r="M28" i="8" s="1"/>
  <c r="M32" i="8" s="1"/>
  <c r="L27" i="10"/>
  <c r="M27" i="10" s="1"/>
  <c r="M31" i="10" s="1"/>
  <c r="E62" i="8"/>
  <c r="F62" i="8" s="1"/>
  <c r="F66" i="8" s="1"/>
  <c r="F72" i="8" s="1"/>
  <c r="E61" i="10"/>
  <c r="F61" i="10" s="1"/>
  <c r="F65" i="10" s="1"/>
  <c r="F71" i="10" s="1"/>
  <c r="E28" i="8"/>
  <c r="F28" i="8" s="1"/>
  <c r="F32" i="8" s="1"/>
  <c r="F38" i="8" s="1"/>
  <c r="E27" i="10"/>
  <c r="F27" i="10" s="1"/>
  <c r="F31" i="10" s="1"/>
  <c r="E79" i="9"/>
  <c r="F79" i="9" s="1"/>
  <c r="F83" i="9" s="1"/>
  <c r="F89" i="9" s="1"/>
  <c r="E78" i="11"/>
  <c r="F78" i="11" s="1"/>
  <c r="F82" i="11" s="1"/>
  <c r="F88" i="11" s="1"/>
  <c r="E45" i="9"/>
  <c r="F45" i="9" s="1"/>
  <c r="F49" i="9" s="1"/>
  <c r="F55" i="9" s="1"/>
  <c r="E44" i="11"/>
  <c r="F44" i="11" s="1"/>
  <c r="F48" i="11" s="1"/>
  <c r="F54" i="11" s="1"/>
  <c r="E11" i="9"/>
  <c r="F11" i="9" s="1"/>
  <c r="F15" i="9" s="1"/>
  <c r="F21" i="9" s="1"/>
  <c r="E10" i="11"/>
  <c r="F10" i="11" s="1"/>
  <c r="F14" i="11" s="1"/>
  <c r="L45" i="9"/>
  <c r="M45" i="9" s="1"/>
  <c r="M49" i="9" s="1"/>
  <c r="M55" i="9" s="1"/>
  <c r="L44" i="11"/>
  <c r="M44" i="11" s="1"/>
  <c r="M48" i="11" s="1"/>
  <c r="L11" i="9"/>
  <c r="M11" i="9" s="1"/>
  <c r="M15" i="9" s="1"/>
  <c r="M21" i="9" s="1"/>
  <c r="L10" i="11"/>
  <c r="M10" i="11" s="1"/>
  <c r="M14" i="11" s="1"/>
  <c r="M20" i="11" s="1"/>
  <c r="E79" i="8"/>
  <c r="F79" i="8" s="1"/>
  <c r="F83" i="8" s="1"/>
  <c r="F89" i="8" s="1"/>
  <c r="E78" i="10"/>
  <c r="F78" i="10" s="1"/>
  <c r="F82" i="10" s="1"/>
  <c r="F88" i="10" s="1"/>
  <c r="L45" i="8"/>
  <c r="M45" i="8" s="1"/>
  <c r="M49" i="8" s="1"/>
  <c r="L44" i="10"/>
  <c r="M44" i="10" s="1"/>
  <c r="M48" i="10" s="1"/>
  <c r="M54" i="10" s="1"/>
  <c r="L11" i="8"/>
  <c r="M11" i="8" s="1"/>
  <c r="M15" i="8" s="1"/>
  <c r="M21" i="8" s="1"/>
  <c r="L10" i="10"/>
  <c r="M10" i="10" s="1"/>
  <c r="M14" i="10" s="1"/>
  <c r="M20" i="10" s="1"/>
  <c r="E45" i="8"/>
  <c r="F45" i="8" s="1"/>
  <c r="F49" i="8" s="1"/>
  <c r="F55" i="8" s="1"/>
  <c r="E44" i="10"/>
  <c r="F44" i="10" s="1"/>
  <c r="F48" i="10" s="1"/>
  <c r="F54" i="10" s="1"/>
  <c r="E11" i="8"/>
  <c r="F11" i="8" s="1"/>
  <c r="F15" i="8" s="1"/>
  <c r="E10" i="10"/>
  <c r="F10" i="10" s="1"/>
  <c r="F14" i="10" s="1"/>
  <c r="F20" i="10" s="1"/>
  <c r="E62" i="9"/>
  <c r="F62" i="9" s="1"/>
  <c r="F66" i="9" s="1"/>
  <c r="F72" i="9" s="1"/>
  <c r="E61" i="11"/>
  <c r="F61" i="11" s="1"/>
  <c r="F65" i="11" s="1"/>
  <c r="F71" i="11" s="1"/>
  <c r="E28" i="9"/>
  <c r="F28" i="9" s="1"/>
  <c r="F32" i="9" s="1"/>
  <c r="F38" i="9" s="1"/>
  <c r="E27" i="11"/>
  <c r="F27" i="11" s="1"/>
  <c r="F31" i="11" s="1"/>
  <c r="F37" i="11" s="1"/>
  <c r="L62" i="9"/>
  <c r="M62" i="9" s="1"/>
  <c r="M66" i="9" s="1"/>
  <c r="M72" i="9" s="1"/>
  <c r="L61" i="11"/>
  <c r="M61" i="11" s="1"/>
  <c r="M65" i="11" s="1"/>
  <c r="M71" i="11" s="1"/>
  <c r="L28" i="9"/>
  <c r="M28" i="9" s="1"/>
  <c r="M32" i="9" s="1"/>
  <c r="M38" i="9" s="1"/>
  <c r="L27" i="11"/>
  <c r="M27" i="11" s="1"/>
  <c r="M31" i="11" s="1"/>
  <c r="M37" i="11" s="1"/>
  <c r="M37" i="10" l="1"/>
  <c r="F21" i="8"/>
  <c r="M55" i="8"/>
  <c r="M38" i="8"/>
  <c r="M54" i="11"/>
  <c r="M71" i="10"/>
  <c r="F20" i="11"/>
  <c r="F37" i="10"/>
</calcChain>
</file>

<file path=xl/sharedStrings.xml><?xml version="1.0" encoding="utf-8"?>
<sst xmlns="http://schemas.openxmlformats.org/spreadsheetml/2006/main" count="4889" uniqueCount="570">
  <si>
    <t>Prima Vacacional</t>
  </si>
  <si>
    <t>Salario Base</t>
  </si>
  <si>
    <t>Gratificacion</t>
  </si>
  <si>
    <t>Total Devengado</t>
  </si>
  <si>
    <t>Cuota IMSS</t>
  </si>
  <si>
    <t>I.S.R.P.</t>
  </si>
  <si>
    <t>Guarderia</t>
  </si>
  <si>
    <t>INFONAVIT</t>
  </si>
  <si>
    <t>S.A.R.</t>
  </si>
  <si>
    <t>Suma Total</t>
  </si>
  <si>
    <t>Salario Real</t>
  </si>
  <si>
    <t>Peon</t>
  </si>
  <si>
    <t>Ayudante B</t>
  </si>
  <si>
    <t>Ayudante A</t>
  </si>
  <si>
    <t>Azulejero</t>
  </si>
  <si>
    <t>Percepcion Total</t>
  </si>
  <si>
    <t>Oficial Especializado</t>
  </si>
  <si>
    <t>Carpintero Obra Negra</t>
  </si>
  <si>
    <t>Carpintero de Banco</t>
  </si>
  <si>
    <t>Fierrero</t>
  </si>
  <si>
    <t>Yesero</t>
  </si>
  <si>
    <t>Pintor</t>
  </si>
  <si>
    <t>Herrero</t>
  </si>
  <si>
    <t>Soldador</t>
  </si>
  <si>
    <t>Soldador Calificado</t>
  </si>
  <si>
    <t>Aluminero</t>
  </si>
  <si>
    <t>Vidriero</t>
  </si>
  <si>
    <t>Plomero</t>
  </si>
  <si>
    <t>Oficial Plomero "C"</t>
  </si>
  <si>
    <t>Electricista</t>
  </si>
  <si>
    <t>Oficial electrico "C"</t>
  </si>
  <si>
    <t>Operador de Equipo</t>
  </si>
  <si>
    <t>Operador de Maquinaria "B"</t>
  </si>
  <si>
    <t>Operador</t>
  </si>
  <si>
    <t>Operador de Maquinaria "A"</t>
  </si>
  <si>
    <t>Chofer de Camion</t>
  </si>
  <si>
    <t>Mecánico</t>
  </si>
  <si>
    <t>Mecanico montador de equipo</t>
  </si>
  <si>
    <t>Tubero de segunda</t>
  </si>
  <si>
    <t>Tubero de primera</t>
  </si>
  <si>
    <t>Barretero</t>
  </si>
  <si>
    <t>Poblador</t>
  </si>
  <si>
    <t>Bombero</t>
  </si>
  <si>
    <t>Maniobrista</t>
  </si>
  <si>
    <t>Montador de equipo</t>
  </si>
  <si>
    <t>Cadenero</t>
  </si>
  <si>
    <t>Aux. de Topografo</t>
  </si>
  <si>
    <t>Almacenista</t>
  </si>
  <si>
    <t>Jefe de Almacen</t>
  </si>
  <si>
    <t>Velador</t>
  </si>
  <si>
    <t>Tomador de Tiempo</t>
  </si>
  <si>
    <t>Checador de materiales</t>
  </si>
  <si>
    <t>Cabo de peones</t>
  </si>
  <si>
    <t>Cabo de oficiales</t>
  </si>
  <si>
    <t>Sobreestante de terraceria</t>
  </si>
  <si>
    <t>Tornillero</t>
  </si>
  <si>
    <t>Rastrillero</t>
  </si>
  <si>
    <t>Sobrestante de tuberia soldada</t>
  </si>
  <si>
    <t>Maestro</t>
  </si>
  <si>
    <t>Mano de obra</t>
  </si>
  <si>
    <t>Unidad</t>
  </si>
  <si>
    <t>Cantidad</t>
  </si>
  <si>
    <t>Imp. Total</t>
  </si>
  <si>
    <t>Mando Intermedios</t>
  </si>
  <si>
    <t>Total</t>
  </si>
  <si>
    <t>Sub-Total</t>
  </si>
  <si>
    <t>Dep. Herramienta Menor</t>
  </si>
  <si>
    <t>Cuadrilla No. (1 peon)</t>
  </si>
  <si>
    <t>Cargo</t>
  </si>
  <si>
    <t>Jor.</t>
  </si>
  <si>
    <t>Cabo de Peones</t>
  </si>
  <si>
    <t>%</t>
  </si>
  <si>
    <t>Cuadrilla No. (2 peon)</t>
  </si>
  <si>
    <t>Cuadrilla No. (3 peon)</t>
  </si>
  <si>
    <t>Cuadrilla No. (4 peon)</t>
  </si>
  <si>
    <t>Cuadrilla No. (5 peon)</t>
  </si>
  <si>
    <t>Cuadrilla No. (6 peon)</t>
  </si>
  <si>
    <t>Cuadrilla No. (7 peon)</t>
  </si>
  <si>
    <t>Cuadrilla No. (8 peon)</t>
  </si>
  <si>
    <t>Ayudante "B"</t>
  </si>
  <si>
    <t>Cuadrilla No.  9 (1 ayudante "B")</t>
  </si>
  <si>
    <t>Cuadrilla No.10 ( 1 ayudante "A")</t>
  </si>
  <si>
    <t>Ayudante "A"</t>
  </si>
  <si>
    <t>Cuadrilla No. 11(Azulejero+Ayud"B")</t>
  </si>
  <si>
    <t>Cuadrilla No. 12(oficial alb+ peon)</t>
  </si>
  <si>
    <t>Oficial Albañil</t>
  </si>
  <si>
    <t>Cuadrilla No.13 (Of. Alb+2 peon)</t>
  </si>
  <si>
    <t>Ofical albañil</t>
  </si>
  <si>
    <t>Cuadrilla No. 14(OfAlb+3 peon)</t>
  </si>
  <si>
    <t>Cuadrilla No. 15(OfAlb+4 peon)</t>
  </si>
  <si>
    <t>Cuadrilla No.16 (Of. Alb+4ayd "B")</t>
  </si>
  <si>
    <t>Cuadrilla No.17 (Of. Albañil+5peon)</t>
  </si>
  <si>
    <t>Cuadrilla No.18 (Of.Alb+ Ayud "B")</t>
  </si>
  <si>
    <t>Cuadrilla No.19 (Of. Esp+ayud "B")</t>
  </si>
  <si>
    <t>Cuadrilla No.20 (2Of. Esp+2ayud "B")</t>
  </si>
  <si>
    <t>Cuadrilla No. 21(Carp.Ob.Neg+Ayud"B")</t>
  </si>
  <si>
    <t>Carpintero de Obra Negra</t>
  </si>
  <si>
    <t>Cuadrilla No. 22(Carp Banco+ Ayud "A")</t>
  </si>
  <si>
    <t>Cuadrilla No.23 (Fierrero+Ayud "B")</t>
  </si>
  <si>
    <t>Cuadrilla No. 24(Fierrero+2Ayud "B")</t>
  </si>
  <si>
    <t>Cuadrilla No. 25(yesero+ ayud "B")</t>
  </si>
  <si>
    <t>Cuadrilla No.26 (Pintor+ayud "B")</t>
  </si>
  <si>
    <t>Cuadrilla No.27 (Herrero+ Ayud"B")</t>
  </si>
  <si>
    <t>Cuadrilla No.28 (Herrero+ Ayud"A")</t>
  </si>
  <si>
    <t>Cuadrilla No.29 (Soldador+ayud "B")</t>
  </si>
  <si>
    <t>Cuadrilla No.30 (Sold.Calif+ayud "A")</t>
  </si>
  <si>
    <t>Saldador Calificado</t>
  </si>
  <si>
    <t>Cuadrilla No. 31(1 Aluminero)</t>
  </si>
  <si>
    <t>Cuadrilla No. 32(Alum.+ Ayud "A")</t>
  </si>
  <si>
    <t>Cuadrilla No.33 (Vidriero+Ayud "B")</t>
  </si>
  <si>
    <t>Cuadrilla No. 34(Vidriero+Ayud "A")</t>
  </si>
  <si>
    <t>Cuadrilla No. 35(Plomero+ ayud "A")</t>
  </si>
  <si>
    <t>Cabo de Oficiales</t>
  </si>
  <si>
    <t>Cuadrilla No.36 (Plomero+2ayud "A")</t>
  </si>
  <si>
    <t>Cuadrilla No.37 (Electric+ Ayud"A")</t>
  </si>
  <si>
    <t>Cuadrilla No.38(Electric+ 2Ayud"A")</t>
  </si>
  <si>
    <t>Cuadrilla No.39 (Operador Equipo)</t>
  </si>
  <si>
    <t>Cuadrilla No.40 (Op. Equipo+ peon)</t>
  </si>
  <si>
    <t>Cuadrilla No. 41(Op. Equipo+2peones)</t>
  </si>
  <si>
    <t>Cuadrilla No. 42(Op. Equ + 3 peon)</t>
  </si>
  <si>
    <t>Cuadrilla No.43 (Op.Equ+4peon)</t>
  </si>
  <si>
    <t>Cuadrilla No. 44(Op.Maq"B"+Ayud"B")</t>
  </si>
  <si>
    <t>Op. Maquinaria "B"</t>
  </si>
  <si>
    <t>Sobrestante de Terracerias</t>
  </si>
  <si>
    <t>Cuadrilla No. 45(Op.Maq"A"+ayud "A")</t>
  </si>
  <si>
    <t>Cuadrilla No.46 (Chofer Camio+peon)</t>
  </si>
  <si>
    <t>Cuadrilla No.47 (Chofer Camion+ Ayud"B")</t>
  </si>
  <si>
    <t>Cuadrilla No.48(Aux. Topografo+ 4Ayud"A")</t>
  </si>
  <si>
    <t>Aux. Topografo</t>
  </si>
  <si>
    <t>Cuadrilla No.49 (2 Of. Albañil+ 4 peones)</t>
  </si>
  <si>
    <t>Peones</t>
  </si>
  <si>
    <t>Oficial. Albañil</t>
  </si>
  <si>
    <t>Cuadrilla No.50 (2Oficial Albañil+ 9peon)</t>
  </si>
  <si>
    <t>Cuadrilla No. 51(2Oficial Albañil+5peones)</t>
  </si>
  <si>
    <t>Cuadrilla No. 52(2 Oficial Albañil + 10 peon)</t>
  </si>
  <si>
    <t>Cuadrilla No.53 (Plomero + Ayudante "B"+ Peon)</t>
  </si>
  <si>
    <t>Cuadrilla No. 54(Oficial Electrico "C"+Ayud"B" + Peon)</t>
  </si>
  <si>
    <t>Oficial Electrico "C"</t>
  </si>
  <si>
    <t>Cuadrilla No. 55(10 Peon)</t>
  </si>
  <si>
    <t>Cuadrilla No.56 (9 peon)</t>
  </si>
  <si>
    <t>Cuadrilla No.57 (Poblador + Ayud"A")</t>
  </si>
  <si>
    <t>Cuadrilla No.58(Oficial Albañil+ 1Ayud"B"+ 7 Peon)</t>
  </si>
  <si>
    <t>Cuadrilla No.59 (Oficial Albañil+ 1Ayud"B"+ 3 Peon)</t>
  </si>
  <si>
    <t>Cuadrilla No.60 (Oficial Albañil+ Ayudante "A" + peon)</t>
  </si>
  <si>
    <t>Cuadrilla No. 61(Oficial Albañil +Tubero 2da.+2peones)</t>
  </si>
  <si>
    <t>Cuadrilla No.63 (Oficial Albañil +Tubero 1ra.+4peones)</t>
  </si>
  <si>
    <t>Cuadrilla No. 62(Oficial Albañil +Tubero 1ra.+2peones)</t>
  </si>
  <si>
    <t>Cuadrilla No. 64(Oficial Albañil +Tubero 1ra.+7peones)</t>
  </si>
  <si>
    <t>Cuadrilla No. 65(Oficial Albañil +Tubero 1ra.+9peones)</t>
  </si>
  <si>
    <t>Cuadrilla No.66 (Tubero 1ra+ 2Tubero 2da + 4 peon)</t>
  </si>
  <si>
    <t>Cuadrilla No.67 (Tubero 1ra+ 2Tubero 2da + 6 peon)</t>
  </si>
  <si>
    <t>Cuadrilla No.68(Tornillero + 4 Rastrillero+ 5 Peon)</t>
  </si>
  <si>
    <t>Cuadrilla No.69 (4Oficial Albañil+ 4Ayud"B")</t>
  </si>
  <si>
    <t>Cuadrilla No.70 (Montador de Equipo + Ayudante "B" )</t>
  </si>
  <si>
    <t>Montador de Equipo</t>
  </si>
  <si>
    <t>Cuadrilla No. 71(Montador de Equipo + Ayudante "B"+ Peon)</t>
  </si>
  <si>
    <t>Cuadrilla No. 72(Barretero + Ayudante "A")</t>
  </si>
  <si>
    <r>
      <t>DESCRIPCION:</t>
    </r>
    <r>
      <rPr>
        <sz val="10"/>
        <rFont val="Arial Narrow"/>
        <family val="2"/>
      </rPr>
      <t xml:space="preserve"> CAMION PETROLIZADORA,MARCA FORD ,MODELO 48-826,INCLUYE EQUIPO CON </t>
    </r>
  </si>
  <si>
    <t xml:space="preserve">PETROLIZADORA  SEAMANN-GUNISSON </t>
  </si>
  <si>
    <t xml:space="preserve">precio de </t>
  </si>
  <si>
    <t>(Pa)=</t>
  </si>
  <si>
    <t xml:space="preserve">horas trabajadas </t>
  </si>
  <si>
    <t>(Ha)=</t>
  </si>
  <si>
    <t>Cambio</t>
  </si>
  <si>
    <t>(T)=</t>
  </si>
  <si>
    <t>adquisicion</t>
  </si>
  <si>
    <t>al año</t>
  </si>
  <si>
    <t>de lubricante</t>
  </si>
  <si>
    <t>equipo</t>
  </si>
  <si>
    <t>(Ea)=</t>
  </si>
  <si>
    <t>potencia</t>
  </si>
  <si>
    <t>(j)=</t>
  </si>
  <si>
    <t>lubricante</t>
  </si>
  <si>
    <t>(aL)=</t>
  </si>
  <si>
    <t>adicional</t>
  </si>
  <si>
    <t xml:space="preserve">valor de </t>
  </si>
  <si>
    <t>(Vn)=</t>
  </si>
  <si>
    <t>(Hp)=</t>
  </si>
  <si>
    <t>precio del</t>
  </si>
  <si>
    <t>(Pl)=</t>
  </si>
  <si>
    <t>llantas</t>
  </si>
  <si>
    <t>del equipo</t>
  </si>
  <si>
    <t>valor</t>
  </si>
  <si>
    <t>(Va)=</t>
  </si>
  <si>
    <t xml:space="preserve">salario </t>
  </si>
  <si>
    <t>(So)CUA=47</t>
  </si>
  <si>
    <t>tasa de interes</t>
  </si>
  <si>
    <t>(i)=</t>
  </si>
  <si>
    <t>inicial</t>
  </si>
  <si>
    <t>de operación</t>
  </si>
  <si>
    <t>anual</t>
  </si>
  <si>
    <t>(Vr)=</t>
  </si>
  <si>
    <t>combustible</t>
  </si>
  <si>
    <t>(c) =</t>
  </si>
  <si>
    <t>prima anual</t>
  </si>
  <si>
    <t>(S)=</t>
  </si>
  <si>
    <t>rescate</t>
  </si>
  <si>
    <t>de seguro</t>
  </si>
  <si>
    <t>vida economica</t>
  </si>
  <si>
    <t>(Ve)=</t>
  </si>
  <si>
    <t>(Pc)=</t>
  </si>
  <si>
    <t xml:space="preserve">factor de </t>
  </si>
  <si>
    <t>(Q)=</t>
  </si>
  <si>
    <t>de maquinaria</t>
  </si>
  <si>
    <t>mantenimiento</t>
  </si>
  <si>
    <t>(Hv)=</t>
  </si>
  <si>
    <t>capacidad de</t>
  </si>
  <si>
    <t>(C) =</t>
  </si>
  <si>
    <t>(Fo)=</t>
  </si>
  <si>
    <t>de llantas</t>
  </si>
  <si>
    <t>carter</t>
  </si>
  <si>
    <t>operacion</t>
  </si>
  <si>
    <t xml:space="preserve">            Procedimiento de Calculo    </t>
  </si>
  <si>
    <t>Depreciacion     =</t>
  </si>
  <si>
    <t>(13000       -</t>
  </si>
  <si>
    <t>11700)      +</t>
  </si>
  <si>
    <t>=</t>
  </si>
  <si>
    <t>Cargos</t>
  </si>
  <si>
    <t>Intereres              =</t>
  </si>
  <si>
    <t>[(13000      +</t>
  </si>
  <si>
    <t xml:space="preserve">                 11700)    + 2              </t>
  </si>
  <si>
    <t>(Ha) ]   i</t>
  </si>
  <si>
    <t>fijos</t>
  </si>
  <si>
    <t>Seguro                =</t>
  </si>
  <si>
    <t>(13000        -</t>
  </si>
  <si>
    <t>11700)    + 2</t>
  </si>
  <si>
    <t>(s+ha)</t>
  </si>
  <si>
    <t>Mantenimiento =</t>
  </si>
  <si>
    <t>SUMA          =</t>
  </si>
  <si>
    <t>cargos por combustible</t>
  </si>
  <si>
    <t xml:space="preserve">cargos de </t>
  </si>
  <si>
    <t>cargos por lubricante</t>
  </si>
  <si>
    <t>c/t (pl) +(al)(hp)(pl)</t>
  </si>
  <si>
    <t>consumo</t>
  </si>
  <si>
    <t>cargos por llantas</t>
  </si>
  <si>
    <t>vn  /hv</t>
  </si>
  <si>
    <t xml:space="preserve">cargos por </t>
  </si>
  <si>
    <t>so/ha *286.5</t>
  </si>
  <si>
    <t>SUMA     =</t>
  </si>
  <si>
    <t>operación</t>
  </si>
  <si>
    <t>costo total hora equipo</t>
  </si>
  <si>
    <t xml:space="preserve"> TOTAL       </t>
  </si>
  <si>
    <r>
      <t>DESCRIPCION:</t>
    </r>
    <r>
      <rPr>
        <sz val="10"/>
        <rFont val="Arial Narrow"/>
        <family val="2"/>
      </rPr>
      <t xml:space="preserve"> </t>
    </r>
  </si>
  <si>
    <t xml:space="preserve">REVOLVEDORA PARA CONCRETO MARCA MIPSA DE UN SACO DE CAPACIDAD MOTOR </t>
  </si>
  <si>
    <t>(So)CUA =39</t>
  </si>
  <si>
    <r>
      <t>DESCRIPCION:</t>
    </r>
    <r>
      <rPr>
        <sz val="10"/>
        <rFont val="Arial Narrow"/>
        <family val="2"/>
      </rPr>
      <t xml:space="preserve"> VIBRADOR DE AGUJA PARA CONCRETO MARCA MECSA MODELO K-8 MOTOR DE GASOLINA KOHLER </t>
    </r>
  </si>
  <si>
    <t xml:space="preserve">K-181 ,8 H.P. 3600 RPM </t>
  </si>
  <si>
    <t>potencial</t>
  </si>
  <si>
    <t>(So)CUA=9</t>
  </si>
  <si>
    <r>
      <t>DESCRIPCION:</t>
    </r>
    <r>
      <rPr>
        <sz val="10"/>
        <rFont val="Arial Narrow"/>
        <family val="2"/>
      </rPr>
      <t xml:space="preserve"> MALACATE MARCA MECSA ,MODELO M -1000 1 TONELADA DE CAPACIDAD  </t>
    </r>
  </si>
  <si>
    <t>MOTOR DE GASOLINA WISCONSIN   S14D-R DE 14  H.P. 3600 RPM.</t>
  </si>
  <si>
    <t>(So)CUA=39</t>
  </si>
  <si>
    <r>
      <t>DESCRIPCION:</t>
    </r>
    <r>
      <rPr>
        <sz val="10"/>
        <rFont val="Arial Narrow"/>
        <family val="2"/>
      </rPr>
      <t xml:space="preserve"> PLUMA PARA MALACATE DE 1 TONELADA DE CAPACIDAD COMPLETA</t>
    </r>
  </si>
  <si>
    <r>
      <t>DESCRIPCION:</t>
    </r>
    <r>
      <rPr>
        <sz val="10"/>
        <rFont val="Arial Narrow"/>
        <family val="2"/>
      </rPr>
      <t xml:space="preserve"> CAMION DE VOLTEO MARCA FORD ,MOTOR  DIESEL DE 170 H.P. ,8M3 DE CAPACIDAD  </t>
    </r>
  </si>
  <si>
    <t>(So)CUA=46</t>
  </si>
  <si>
    <r>
      <t>DESCRIPCION:</t>
    </r>
    <r>
      <rPr>
        <sz val="10"/>
        <rFont val="Arial Narrow"/>
        <family val="2"/>
      </rPr>
      <t xml:space="preserve"> CAMION PIPA MARCA FORD ,MOTOR  DIESEL DE 170 H.P.INCLUYE TANQUE DE   </t>
    </r>
  </si>
  <si>
    <t xml:space="preserve">10000 LITROS DE CAPACIDAD.  </t>
  </si>
  <si>
    <r>
      <t>DESCRIPCION:</t>
    </r>
    <r>
      <rPr>
        <sz val="10"/>
        <rFont val="Arial Narrow"/>
        <family val="2"/>
      </rPr>
      <t xml:space="preserve"> MOTONIVELADORA CATERPILLAR ,MODELO 120 B ,MONTADO SOBRE BASTIDOR      </t>
    </r>
  </si>
  <si>
    <t>DE LLANTAS ,MOTOR DIESEL DE 125 H.P.</t>
  </si>
  <si>
    <t>(So)CUA=45</t>
  </si>
  <si>
    <r>
      <t>DESCRIPCION:</t>
    </r>
    <r>
      <rPr>
        <sz val="10"/>
        <rFont val="Arial Narrow"/>
        <family val="2"/>
      </rPr>
      <t xml:space="preserve"> APLANADORA MARCA COPACTO - HUMBER MODELO CT - 1014 DE 10  A 14      </t>
    </r>
  </si>
  <si>
    <t>TONELADAS,DE RODILLOS ,MOTOR DE 73 H.P.</t>
  </si>
  <si>
    <r>
      <t>DESCRIPCION:</t>
    </r>
    <r>
      <rPr>
        <sz val="10"/>
        <rFont val="Arial Narrow"/>
        <family val="2"/>
      </rPr>
      <t xml:space="preserve"> PAVIMENTADORA BARBER GREEN MODELO BG -220 ,MOTOR JOHN DEERE ,78 HP.   </t>
    </r>
  </si>
  <si>
    <t>REGLA MAESTRA  2.44 M. ANCHO BASICO  3.05</t>
  </si>
  <si>
    <r>
      <t>DESCRIPCION:</t>
    </r>
    <r>
      <rPr>
        <sz val="10"/>
        <rFont val="Arial Narrow"/>
        <family val="2"/>
      </rPr>
      <t xml:space="preserve"> RETROEXCAVADORA HIDRAULICA CASE MODELO 580 H, MOTOR DIESEL PERKINS  </t>
    </r>
  </si>
  <si>
    <t>4,236 ,73 HP. ,2200 RPM</t>
  </si>
  <si>
    <t>(So)CUA=44</t>
  </si>
  <si>
    <r>
      <t>DESCRIPCION:</t>
    </r>
    <r>
      <rPr>
        <sz val="10"/>
        <rFont val="Arial Narrow"/>
        <family val="2"/>
      </rPr>
      <t xml:space="preserve">NIVEL NATIONAL ,MODELO DUMPY(EQUIPO PARA MEDICION ) </t>
    </r>
  </si>
  <si>
    <t>(So)CUA=48</t>
  </si>
  <si>
    <r>
      <t>DESCRIPCION:</t>
    </r>
    <r>
      <rPr>
        <sz val="10"/>
        <rFont val="Arial Narrow"/>
        <family val="2"/>
      </rPr>
      <t xml:space="preserve"> TRANSITO NATIONAL K-E ,CHS (EQUIPO PARA MEDICION )</t>
    </r>
  </si>
  <si>
    <r>
      <t>DESCRIPCION:</t>
    </r>
    <r>
      <rPr>
        <sz val="10"/>
        <rFont val="Arial Narrow"/>
        <family val="2"/>
      </rPr>
      <t xml:space="preserve"> CARRETILLA DE VOLTEO BUGGY ,MODELO JPR -175 , 160 LITROS  DE CAPACIDAD , </t>
    </r>
  </si>
  <si>
    <t>MONTADA SOBRE NEUMATICOS</t>
  </si>
  <si>
    <t>(So)CUA=1</t>
  </si>
  <si>
    <t>CONCEPTO</t>
  </si>
  <si>
    <t xml:space="preserve">PRECIO UNITARIO </t>
  </si>
  <si>
    <t>UNIDAD</t>
  </si>
  <si>
    <t>Cemento gris</t>
  </si>
  <si>
    <t>Ton</t>
  </si>
  <si>
    <t>cemento Blaco</t>
  </si>
  <si>
    <t>Cemento Crest</t>
  </si>
  <si>
    <t>Yeso</t>
  </si>
  <si>
    <t>Grano de Marmol (marmolina)</t>
  </si>
  <si>
    <t>SIKALITE</t>
  </si>
  <si>
    <t>kg</t>
  </si>
  <si>
    <t>Arena #5</t>
  </si>
  <si>
    <t>M3</t>
  </si>
  <si>
    <t>Arena #4</t>
  </si>
  <si>
    <t>Agua</t>
  </si>
  <si>
    <t>Grava 3/4</t>
  </si>
  <si>
    <t>Mortero cemento-arena 1:2</t>
  </si>
  <si>
    <t>Mortero cemento-arena 1:6</t>
  </si>
  <si>
    <t xml:space="preserve">Mano de obra </t>
  </si>
  <si>
    <t xml:space="preserve">Unid.  </t>
  </si>
  <si>
    <t xml:space="preserve">Cant. </t>
  </si>
  <si>
    <t>P.U.</t>
  </si>
  <si>
    <t>Importe</t>
  </si>
  <si>
    <t>(0.605+5%)</t>
  </si>
  <si>
    <t>Ton.</t>
  </si>
  <si>
    <t>(0.298+5%)</t>
  </si>
  <si>
    <t>(1.004+10%)</t>
  </si>
  <si>
    <t>m3</t>
  </si>
  <si>
    <t>(1.184+10%)</t>
  </si>
  <si>
    <t xml:space="preserve">Agua </t>
  </si>
  <si>
    <t>(0.276+20%)</t>
  </si>
  <si>
    <t>(0.259+20%)</t>
  </si>
  <si>
    <t>SUB-TOTAL</t>
  </si>
  <si>
    <t>Mano de obra y equipo</t>
  </si>
  <si>
    <t>TOTAL</t>
  </si>
  <si>
    <t>Mortero cemento-arena 1:3</t>
  </si>
  <si>
    <t>Mortero cemento-arena 1:7</t>
  </si>
  <si>
    <t>(0.496+5%)</t>
  </si>
  <si>
    <t>(0.248+5%)</t>
  </si>
  <si>
    <t>(1.104+10%)</t>
  </si>
  <si>
    <t>(1.265+10%)</t>
  </si>
  <si>
    <t>(0.271+20%)</t>
  </si>
  <si>
    <t>(0.252+20%)</t>
  </si>
  <si>
    <t>Mortero cemento-arena 1:4</t>
  </si>
  <si>
    <t>Mortero cemento-arena 1:8</t>
  </si>
  <si>
    <t>(0.421+5%)</t>
  </si>
  <si>
    <t>(0.209+5%)</t>
  </si>
  <si>
    <t>(1.129+10%)</t>
  </si>
  <si>
    <t>(1.305+10%)</t>
  </si>
  <si>
    <t>(0.268+20%)</t>
  </si>
  <si>
    <t>(0.247+20%)</t>
  </si>
  <si>
    <t>Mortero cemento-arena 1:5</t>
  </si>
  <si>
    <t>Mortero yeso-agua</t>
  </si>
  <si>
    <t>(0.351+5%)</t>
  </si>
  <si>
    <t>(0.682+5%)</t>
  </si>
  <si>
    <t>(1.154+10%)</t>
  </si>
  <si>
    <t>(0.451+20%)</t>
  </si>
  <si>
    <t>(0.261+20%)</t>
  </si>
  <si>
    <t>Mortero yeso-arena-agua</t>
  </si>
  <si>
    <t>Lechada cemento gris-agua</t>
  </si>
  <si>
    <t>(0.433+5%)</t>
  </si>
  <si>
    <t>(1.305+5%)</t>
  </si>
  <si>
    <t>(0.539+10%)</t>
  </si>
  <si>
    <t>(0.988+20%)</t>
  </si>
  <si>
    <t>(0.290+20%)</t>
  </si>
  <si>
    <t>Pasta cemento blanco-cemento crest-marmolina</t>
  </si>
  <si>
    <t>Lechada cemento blanco-agua</t>
  </si>
  <si>
    <t>Cemento blanco</t>
  </si>
  <si>
    <t>(0.322+5%)</t>
  </si>
  <si>
    <t>Cemento crest</t>
  </si>
  <si>
    <t>(0.107+5%)</t>
  </si>
  <si>
    <t>Marmolina</t>
  </si>
  <si>
    <t>(1.194+10%)</t>
  </si>
  <si>
    <t>(0.507+20%)</t>
  </si>
  <si>
    <t>Pasta cemento gris-agua</t>
  </si>
  <si>
    <t>(2.008+5%)</t>
  </si>
  <si>
    <t>(0.953+20%)</t>
  </si>
  <si>
    <t>Pasta cemento blanco-agua</t>
  </si>
  <si>
    <t xml:space="preserve">Concreto f´c=100 kg/cm2, con resistencia normal </t>
  </si>
  <si>
    <t>Concreto f´c=200 kg/cm2, con resistencia normal</t>
  </si>
  <si>
    <t xml:space="preserve">máx.3/4", fabricado en obra c/revolvedora 1 saco. </t>
  </si>
  <si>
    <t>máx. 3/4", fabricado en obra c/revolvedora 1 saco</t>
  </si>
  <si>
    <t>Material</t>
  </si>
  <si>
    <t>(0.267+5%)</t>
  </si>
  <si>
    <t>(0.359+5%)</t>
  </si>
  <si>
    <t>(0.509+10%)</t>
  </si>
  <si>
    <t>(0.498+10%)</t>
  </si>
  <si>
    <t>Grava #3/4</t>
  </si>
  <si>
    <t>(0.616+10%)</t>
  </si>
  <si>
    <t>Grava 3/4"</t>
  </si>
  <si>
    <t>(0.603+10%)</t>
  </si>
  <si>
    <t>(0.217+20%)</t>
  </si>
  <si>
    <t>(0.202+20%)</t>
  </si>
  <si>
    <t>Jor</t>
  </si>
  <si>
    <t xml:space="preserve">Revolvedora </t>
  </si>
  <si>
    <t>(8/13)</t>
  </si>
  <si>
    <t>Hr.</t>
  </si>
  <si>
    <t>Hr</t>
  </si>
  <si>
    <t>Concreto f´c=125 kg/cm2, con resistencia normal</t>
  </si>
  <si>
    <t>Concreto f´c=225 kg/cm2, con resistencia normal</t>
  </si>
  <si>
    <t>(0.293+5%)</t>
  </si>
  <si>
    <t>(0.380+5%)</t>
  </si>
  <si>
    <t>(0.506+10%)</t>
  </si>
  <si>
    <t>(0.500+10%)</t>
  </si>
  <si>
    <t>(0.613+10%)</t>
  </si>
  <si>
    <t>(0.600+10%)</t>
  </si>
  <si>
    <t>(0.214+20%)</t>
  </si>
  <si>
    <t>(0.198+20%)</t>
  </si>
  <si>
    <t>Concreto f´c=150 kg/cm2, con resistencia normal</t>
  </si>
  <si>
    <t>Concreto f´c=250 kg/cm2, con resistencia normal</t>
  </si>
  <si>
    <t>(0.318+5%)</t>
  </si>
  <si>
    <t>(0.401+5%)</t>
  </si>
  <si>
    <t>(0.503+10%)</t>
  </si>
  <si>
    <t>(0.502+10%)</t>
  </si>
  <si>
    <t>(0.610+10%)</t>
  </si>
  <si>
    <t>(0.598+10%)</t>
  </si>
  <si>
    <t>(0.211+20%)</t>
  </si>
  <si>
    <t>(0.195+20%)</t>
  </si>
  <si>
    <t>Concreto f´c=175 kg/cm2, con resistencia normal</t>
  </si>
  <si>
    <t>Concreto f´c=275 kg/cm2, con resistencia normal</t>
  </si>
  <si>
    <t>(0.338+5%)</t>
  </si>
  <si>
    <t>(0.416+5%)</t>
  </si>
  <si>
    <t>(0.504+10%)</t>
  </si>
  <si>
    <t>(0.606+10%)</t>
  </si>
  <si>
    <t>(0.206+20%)</t>
  </si>
  <si>
    <t>Concreto f´c=300 kg/cm2, con resistencia normal</t>
  </si>
  <si>
    <t>(0.431+5%)</t>
  </si>
  <si>
    <t>(0.507+10%)</t>
  </si>
  <si>
    <t>(0.614+10%)</t>
  </si>
  <si>
    <t>(0.196+20%)</t>
  </si>
  <si>
    <t>Cuadrilla No. 4 (1/13)</t>
  </si>
  <si>
    <t xml:space="preserve"> REVOLVEDORA DE GASOLINA MARCA KOHLER ,MODELO  K-181 DE 8 H.P.</t>
  </si>
  <si>
    <t>MATERIALES Y OTROS</t>
  </si>
  <si>
    <t>Gasolina Magna</t>
  </si>
  <si>
    <t>Gasolina Premium</t>
  </si>
  <si>
    <t>Diesel</t>
  </si>
  <si>
    <t>Lubricante</t>
  </si>
  <si>
    <t>Taza de Interes</t>
  </si>
  <si>
    <t>Lt</t>
  </si>
  <si>
    <t xml:space="preserve">Concreto f´c=100 kg/cm2, con Imp. integral agr. </t>
  </si>
  <si>
    <t>Concreto f´c=200 kg/cm2, con Imp. integral, agr.</t>
  </si>
  <si>
    <t>Sikalite</t>
  </si>
  <si>
    <t>(3.204+5%)</t>
  </si>
  <si>
    <t>(4.308+5%)</t>
  </si>
  <si>
    <t xml:space="preserve">Concreto f´c=125 kg/cm2, con Imp. Integral,  agr. </t>
  </si>
  <si>
    <t xml:space="preserve">Concreto f´c=225 kg/cm2, con Imp. Integral,  agr. </t>
  </si>
  <si>
    <t>(3.516+5%)</t>
  </si>
  <si>
    <t>(4.560+5%)</t>
  </si>
  <si>
    <t xml:space="preserve">Concreto f´c=150 kg/cm2, con Imp. Integral,  agr. </t>
  </si>
  <si>
    <t xml:space="preserve">Concreto f´c=250 kg/cm2, con Imp. Integral, agr. </t>
  </si>
  <si>
    <t>(3.816+5%)</t>
  </si>
  <si>
    <t>(4.812+5%)</t>
  </si>
  <si>
    <t xml:space="preserve">Concreto f´c=175 kg/cm2, con Imp. Integral,  agr. </t>
  </si>
  <si>
    <t xml:space="preserve">Concreto f´c=275 kg/cm2, con Imp. Integral,  agr. </t>
  </si>
  <si>
    <t>(4.056+5%)</t>
  </si>
  <si>
    <t>(4.992+5%)</t>
  </si>
  <si>
    <t xml:space="preserve">Concreto f´c=300 kg/cm2, con Imp. Integral, agr. </t>
  </si>
  <si>
    <t>(5.172+5%)</t>
  </si>
  <si>
    <t>COLADO DE</t>
  </si>
  <si>
    <t>Concreto f´c=100 kg/cm2, con resistencia normal con agr.</t>
  </si>
  <si>
    <t>Concreto f´c=200 kg/cm2, con resistencia normal con agr.</t>
  </si>
  <si>
    <t xml:space="preserve">máx.3/4", vaciado con carretillas y botes en elems. de cim.  </t>
  </si>
  <si>
    <t>Conc.f´c=100kg/cm2</t>
  </si>
  <si>
    <t>(1.00+5%)</t>
  </si>
  <si>
    <t>Conc.f´c=200kg/cm2</t>
  </si>
  <si>
    <t xml:space="preserve"> (0.800+20%)</t>
  </si>
  <si>
    <t>Vibrador                         (4/8)</t>
  </si>
  <si>
    <t>Concreto f´c=125 kg/cm2, con resistencia normal con agr.</t>
  </si>
  <si>
    <t>Concreto f´c=225 kg/cm2, con resistencia normal con agr.</t>
  </si>
  <si>
    <t>Conc.f´c=125kg/cm2</t>
  </si>
  <si>
    <t>Conc.f´c=225kg/cm2</t>
  </si>
  <si>
    <t>Concreto f´c=150 kg/cm2, con resistencia normal con agr.</t>
  </si>
  <si>
    <t>Concreto f´c=250 kg/cm2, con resistencia normal con agr.</t>
  </si>
  <si>
    <t>Conc.f´c=150kg/cm2</t>
  </si>
  <si>
    <t>Conc.f´c=250kg/cm2</t>
  </si>
  <si>
    <t>Concreto f´c=175 kg/cm2, con resistencia normal con agr.</t>
  </si>
  <si>
    <t>Concreto f´c=275 kg/cm2, con resistencia normal con agr.</t>
  </si>
  <si>
    <t>Conc.f´c=175kg/cm2</t>
  </si>
  <si>
    <t>Conc.f´c=275kg/cm2</t>
  </si>
  <si>
    <t>Concreto f´c=300 kg/cm2, con resistencia normal con agr.</t>
  </si>
  <si>
    <t>Conc.f´c=300kg/cm2</t>
  </si>
  <si>
    <t>Cuadrilla No. 49 (1/8)</t>
  </si>
  <si>
    <t>Cuadrilla No. 1(0.0235*10)</t>
  </si>
  <si>
    <t>Colado de Concreto con Impermeabilizacion Integral en elementos de Cimentacion</t>
  </si>
  <si>
    <t>Colado de Concreto f´c=100 kg/cm2, con Imp. integral en elem. De Cimentacion</t>
  </si>
  <si>
    <t xml:space="preserve">Agregado máx.3/4", vaciado con carretillas y botes. Incluye vibrado y curado </t>
  </si>
  <si>
    <t>Colado de Concreto f´c=200 kg/cm2, con Imp. integral en elem. De Cimentacion</t>
  </si>
  <si>
    <t>Colado de Concreto f´c=225 kg/cm2, con Imp. integral en elem. De Cimentacion</t>
  </si>
  <si>
    <t>Colado de Concreto f´c=125 kg/cm2, con Imp. integral en elem. De Cimentacion</t>
  </si>
  <si>
    <t>Colado de Concreto f´c=250 kg/cm2, con Imp. integral en elem. De Cimentacion</t>
  </si>
  <si>
    <t>Colado de Concreto f´c=150 kg/cm2, con Imp. integral en elem. De Cimentacion</t>
  </si>
  <si>
    <t>Colado de Concreto f´c=175 kg/cm2, con Imp. integral en elem. De Cimentacion</t>
  </si>
  <si>
    <t>Colado de Concreto f´c=275 kg/cm2, con Imp. integral en elem. De Cimentacion</t>
  </si>
  <si>
    <t>Colado de Concreto f´c=300 kg/cm2, con Imp. integral en elem. De Cimentacion</t>
  </si>
  <si>
    <t xml:space="preserve">Concreto f´c=100 kg/cm2, con Resistencia normal, agr. </t>
  </si>
  <si>
    <t xml:space="preserve">Concreto f´c=200 kg/cm2, con Resistencia normal, agr. </t>
  </si>
  <si>
    <t xml:space="preserve">máx.3/4", vaciado con carretillas y botes en elems. estructural.  </t>
  </si>
  <si>
    <t>Cuadrilla No. 50              (1/5)</t>
  </si>
  <si>
    <t>Vibrador                         (4/5)</t>
  </si>
  <si>
    <t xml:space="preserve">Concreto f´c=125 kg/cm2, con Resistencia normal, agr. </t>
  </si>
  <si>
    <t xml:space="preserve">Concreto f´c=225 kg/cm2, con Resistencia normal, agr. </t>
  </si>
  <si>
    <t xml:space="preserve">Concreto f´c=150 kg/cm2, con Resistencia normal, agr. </t>
  </si>
  <si>
    <t xml:space="preserve">Concreto f´c=250 kg/cm2, con Resistencia normal, agr. </t>
  </si>
  <si>
    <t xml:space="preserve">Concreto f´c=175 kg/cm2, con Resistencia normal, agr. </t>
  </si>
  <si>
    <t xml:space="preserve">Concreto f´c=275 kg/cm2, con Resistencia normal,  agr. </t>
  </si>
  <si>
    <t xml:space="preserve">Concreto f´c=300 kg/cm2, con Resistencia normal,  agr. </t>
  </si>
  <si>
    <t xml:space="preserve">Concreto f´c=100 kg/cm2, con Impermea. Integral, agr. </t>
  </si>
  <si>
    <t>Concreto f´c=200 kg/cm2, con Impermea. Integral, agr.</t>
  </si>
  <si>
    <t xml:space="preserve">Concreto f´c=125 kg/cm2, con Impermea. Integral, agr. </t>
  </si>
  <si>
    <t>Concreto f´c=225 kg/cm2, con Impermea. Integral, agr.</t>
  </si>
  <si>
    <t>Concreto f´c=150 kg/cm2, con Impermea. Integral, agr.</t>
  </si>
  <si>
    <t xml:space="preserve">Concreto f´c=250 kg/cm2, con Impermea. Integral, agr. </t>
  </si>
  <si>
    <t>Concreto f´c=175 kg/cm2, con Impermea. Integral, agr.</t>
  </si>
  <si>
    <t>Concreto f´c=275 kg/cm2, con Impermea. Integral, agr.</t>
  </si>
  <si>
    <t>Concreto f´c=300 kg/cm2, con Impermea. Integral, agr.</t>
  </si>
  <si>
    <t>Habilitado y armado de acero de refuerzo en elementos de</t>
  </si>
  <si>
    <t>cimentacion alambron 1/4" (2) fy =3000 kg/cm2</t>
  </si>
  <si>
    <t>cimentacion  varilla 1/2" (4) fy =4200 kg/cm2</t>
  </si>
  <si>
    <t>Alambron 1/4"no.2</t>
  </si>
  <si>
    <t>(1.00+4%)</t>
  </si>
  <si>
    <t>varilla 1/2"no.4</t>
  </si>
  <si>
    <t>(1.00+6%)</t>
  </si>
  <si>
    <t>alambre recocido</t>
  </si>
  <si>
    <t xml:space="preserve"> (43+7%)</t>
  </si>
  <si>
    <t xml:space="preserve"> (18+7%)</t>
  </si>
  <si>
    <t>cimentacion  varilla  5/16" (2.5) fy =4200 kg/cm2</t>
  </si>
  <si>
    <t>cimentacion  varilla 5/8" (5) fy =4200 kg/cm2</t>
  </si>
  <si>
    <t>varilla 5/16"no.2.5</t>
  </si>
  <si>
    <t>varilla 5/8"no.5</t>
  </si>
  <si>
    <t xml:space="preserve"> (28kg+7%)</t>
  </si>
  <si>
    <t xml:space="preserve"> (16+7%)</t>
  </si>
  <si>
    <t>cimentacion  varilla 3/8" (3) fy =4200 kg/cm2</t>
  </si>
  <si>
    <t>cimentacion  varilla 3/4" (6) fy =4200 kg/cm2</t>
  </si>
  <si>
    <t>varilla 3/8"no.3</t>
  </si>
  <si>
    <t>varilla 3/4"no.6</t>
  </si>
  <si>
    <t xml:space="preserve"> (22+7%)</t>
  </si>
  <si>
    <t xml:space="preserve"> (10+7%)</t>
  </si>
  <si>
    <t>cimentacion  varilla 1" (8) fy =4200 kg/cm2</t>
  </si>
  <si>
    <t>cimentacion  varilla 1 1/2" (12) fy =4200 kg/cm2</t>
  </si>
  <si>
    <t>varlla 1"no.8</t>
  </si>
  <si>
    <t>(1.00+7%)</t>
  </si>
  <si>
    <t>varlla 1 1/2 "no.12</t>
  </si>
  <si>
    <t xml:space="preserve"> (15+7%)</t>
  </si>
  <si>
    <t xml:space="preserve"> (14+7%)</t>
  </si>
  <si>
    <t>cimentacion  varilla 1 1/4" (10) fy =4200 kg/cm2</t>
  </si>
  <si>
    <t>varlla 1 1/4" no.10</t>
  </si>
  <si>
    <t>Cuadrilla No 24      (1/0.15)</t>
  </si>
  <si>
    <t>Alambre recocido # 16</t>
  </si>
  <si>
    <t>Clavo 3/4", 2 1/2", y 4"</t>
  </si>
  <si>
    <t>Malla electrosoldada 6-6/10-10</t>
  </si>
  <si>
    <t>Varilla 5/16" (2.5)</t>
  </si>
  <si>
    <t>Varilla 3/8" (3)</t>
  </si>
  <si>
    <t>Varilla 1/2" (4)</t>
  </si>
  <si>
    <t>Varilla 5/8" (5)</t>
  </si>
  <si>
    <t>Varilla 3/4" (6)</t>
  </si>
  <si>
    <t>Varilla 1" (8)</t>
  </si>
  <si>
    <t>Varilla 1 1/4" (10)</t>
  </si>
  <si>
    <t>Varilla 1 1/2" (12)</t>
  </si>
  <si>
    <t>Alambron 1/4" (2) F'y= 3000 Kg/cm2</t>
  </si>
  <si>
    <t>kg.</t>
  </si>
  <si>
    <t>ton.</t>
  </si>
  <si>
    <t>alambre recocido (43+7%)</t>
  </si>
  <si>
    <t>Cuadrilla No 24       (1/0.20)</t>
  </si>
  <si>
    <t>Cuadrilla No 24       (1/0.22)</t>
  </si>
  <si>
    <t>Cuadrilla No 24    (1/0.17)</t>
  </si>
  <si>
    <t>Cuadrilla No 24      (1/0.24)</t>
  </si>
  <si>
    <t>Cuadrilla No 24     (1/0.18)</t>
  </si>
  <si>
    <t>Cuadrilla No 24     (1/0.26)</t>
  </si>
  <si>
    <t>Cuadrilla No 24       (1/0.30)</t>
  </si>
  <si>
    <t>Cuadrilla No 24     (1/0.28)</t>
  </si>
  <si>
    <t>estructurales alambron 1/4" (2) fy =3000 kg/cm2</t>
  </si>
  <si>
    <t>estructurales varilla 1/2" (4) fy =4200 kg/cm2</t>
  </si>
  <si>
    <t>estructurales varilla  5/16" (2.5) fy =4200 kg/cm2</t>
  </si>
  <si>
    <t>estructurales varilla 5/8" (5) fy =4200 kg/cm2</t>
  </si>
  <si>
    <t>estructurales varilla 3/8" (3) fy =4200 kg/cm2</t>
  </si>
  <si>
    <t>estructurales varilla 3/4" (6) fy =4200 kg/cm2</t>
  </si>
  <si>
    <t>estructurales varilla 1" (8) fy =4200 kg/cm2</t>
  </si>
  <si>
    <t>estructurales varilla 1 1/2" (12) fy =4200 kg/cm2</t>
  </si>
  <si>
    <t>estructurales varilla 1 1/4" (10) fy =4200 kg/cm2</t>
  </si>
  <si>
    <t>Cuadrilla No 24        (1/0.12)</t>
  </si>
  <si>
    <t>Cuadrilla No 24    (1/0.18)</t>
  </si>
  <si>
    <t>Cuadrilla No 24       (1/0.28)</t>
  </si>
  <si>
    <t>Cuadrilla No 24       (1/0.24)</t>
  </si>
  <si>
    <t>Cuadrilla No 24        (1/0.26)</t>
  </si>
  <si>
    <t>Cuadrilla No 24       (1/0.16)</t>
  </si>
  <si>
    <t>Cuadrilla No 24      (1/0.14)</t>
  </si>
  <si>
    <t>UNIVERSIDAD INSURGENTES       PLANTEL SAN ÁNGEL</t>
  </si>
  <si>
    <t>Alumno:</t>
  </si>
  <si>
    <t>Proyecto:</t>
  </si>
  <si>
    <t>Materia:</t>
  </si>
  <si>
    <t>SALARIO REAL INTEGRADO</t>
  </si>
  <si>
    <t>Costo del flete</t>
  </si>
  <si>
    <t>Costo de acarreos</t>
  </si>
  <si>
    <t>Costo de mermsas</t>
  </si>
  <si>
    <t>Costo real de material</t>
  </si>
  <si>
    <t>Costo de proveedor</t>
  </si>
  <si>
    <t>Dep. Herramienta menor y equipo de 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</si>
</sst>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0.00000"/>
    <numFmt numFmtId="166" formatCode="0.000"/>
    <numFmt numFmtId="167" formatCode="0.0000"/>
  </numFmts>
  <fonts count="17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5"/>
      <name val="Arial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5"/>
      <name val="Arial Narrow"/>
      <family val="2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9" fontId="0" fillId="0" borderId="1" xfId="0" applyNumberForma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 vertical="center"/>
    </xf>
    <xf numFmtId="49" fontId="0" fillId="0" borderId="5" xfId="0" applyNumberFormat="1" applyBorder="1"/>
    <xf numFmtId="164" fontId="0" fillId="0" borderId="6" xfId="0" applyNumberFormat="1" applyBorder="1"/>
    <xf numFmtId="0" fontId="0" fillId="0" borderId="5" xfId="0" applyBorder="1"/>
    <xf numFmtId="164" fontId="0" fillId="0" borderId="7" xfId="0" applyNumberFormat="1" applyBorder="1"/>
    <xf numFmtId="0" fontId="2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5" fillId="0" borderId="0" xfId="0" applyFont="1"/>
    <xf numFmtId="0" fontId="1" fillId="0" borderId="0" xfId="0" applyFont="1"/>
    <xf numFmtId="0" fontId="7" fillId="0" borderId="11" xfId="0" applyFont="1" applyBorder="1"/>
    <xf numFmtId="0" fontId="7" fillId="0" borderId="0" xfId="0" applyFont="1" applyBorder="1"/>
    <xf numFmtId="0" fontId="1" fillId="0" borderId="12" xfId="0" applyFont="1" applyBorder="1"/>
    <xf numFmtId="0" fontId="7" fillId="0" borderId="15" xfId="0" applyFont="1" applyBorder="1"/>
    <xf numFmtId="0" fontId="7" fillId="0" borderId="16" xfId="0" applyFont="1" applyBorder="1"/>
    <xf numFmtId="0" fontId="7" fillId="0" borderId="17" xfId="0" applyFont="1" applyBorder="1"/>
    <xf numFmtId="0" fontId="8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8" fillId="0" borderId="22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  <xf numFmtId="0" fontId="7" fillId="0" borderId="26" xfId="0" applyFont="1" applyBorder="1"/>
    <xf numFmtId="0" fontId="7" fillId="0" borderId="27" xfId="0" applyFont="1" applyBorder="1"/>
    <xf numFmtId="0" fontId="7" fillId="0" borderId="28" xfId="0" applyFont="1" applyBorder="1"/>
    <xf numFmtId="0" fontId="7" fillId="0" borderId="29" xfId="0" applyFont="1" applyBorder="1"/>
    <xf numFmtId="166" fontId="7" fillId="0" borderId="17" xfId="0" applyNumberFormat="1" applyFont="1" applyFill="1" applyBorder="1"/>
    <xf numFmtId="0" fontId="8" fillId="0" borderId="30" xfId="0" applyFont="1" applyBorder="1"/>
    <xf numFmtId="0" fontId="1" fillId="0" borderId="31" xfId="0" applyFont="1" applyBorder="1"/>
    <xf numFmtId="0" fontId="6" fillId="0" borderId="11" xfId="0" applyFont="1" applyBorder="1" applyAlignment="1">
      <alignment horizontal="left"/>
    </xf>
    <xf numFmtId="0" fontId="7" fillId="0" borderId="32" xfId="0" applyFont="1" applyFill="1" applyBorder="1"/>
    <xf numFmtId="0" fontId="1" fillId="0" borderId="18" xfId="0" applyFont="1" applyBorder="1"/>
    <xf numFmtId="0" fontId="7" fillId="0" borderId="33" xfId="0" applyFont="1" applyFill="1" applyBorder="1"/>
    <xf numFmtId="0" fontId="7" fillId="0" borderId="0" xfId="0" applyFont="1" applyFill="1" applyBorder="1" applyAlignment="1">
      <alignment horizontal="right"/>
    </xf>
    <xf numFmtId="2" fontId="1" fillId="0" borderId="12" xfId="0" applyNumberFormat="1" applyFont="1" applyBorder="1"/>
    <xf numFmtId="0" fontId="7" fillId="0" borderId="0" xfId="0" applyFont="1" applyBorder="1" applyAlignment="1"/>
    <xf numFmtId="0" fontId="7" fillId="0" borderId="0" xfId="0" applyFont="1" applyFill="1" applyBorder="1"/>
    <xf numFmtId="0" fontId="7" fillId="0" borderId="33" xfId="0" applyFont="1" applyBorder="1"/>
    <xf numFmtId="2" fontId="7" fillId="0" borderId="0" xfId="0" applyNumberFormat="1" applyFont="1" applyBorder="1"/>
    <xf numFmtId="0" fontId="7" fillId="0" borderId="34" xfId="0" applyFont="1" applyBorder="1"/>
    <xf numFmtId="2" fontId="4" fillId="0" borderId="22" xfId="0" applyNumberFormat="1" applyFont="1" applyBorder="1"/>
    <xf numFmtId="166" fontId="7" fillId="0" borderId="23" xfId="0" applyNumberFormat="1" applyFont="1" applyBorder="1"/>
    <xf numFmtId="2" fontId="1" fillId="0" borderId="35" xfId="0" applyNumberFormat="1" applyFont="1" applyBorder="1"/>
    <xf numFmtId="166" fontId="1" fillId="0" borderId="35" xfId="0" applyNumberFormat="1" applyFont="1" applyBorder="1"/>
    <xf numFmtId="0" fontId="7" fillId="0" borderId="32" xfId="0" applyFont="1" applyBorder="1"/>
    <xf numFmtId="0" fontId="1" fillId="0" borderId="30" xfId="0" applyFont="1" applyBorder="1"/>
    <xf numFmtId="0" fontId="1" fillId="0" borderId="36" xfId="0" applyFont="1" applyBorder="1"/>
    <xf numFmtId="0" fontId="7" fillId="0" borderId="1" xfId="0" applyFont="1" applyBorder="1"/>
    <xf numFmtId="2" fontId="4" fillId="0" borderId="6" xfId="0" applyNumberFormat="1" applyFont="1" applyBorder="1"/>
    <xf numFmtId="0" fontId="7" fillId="0" borderId="37" xfId="0" applyFont="1" applyBorder="1"/>
    <xf numFmtId="0" fontId="7" fillId="0" borderId="14" xfId="0" applyFont="1" applyBorder="1"/>
    <xf numFmtId="0" fontId="7" fillId="0" borderId="38" xfId="0" applyFont="1" applyBorder="1"/>
    <xf numFmtId="2" fontId="4" fillId="0" borderId="39" xfId="0" applyNumberFormat="1" applyFont="1" applyBorder="1"/>
    <xf numFmtId="2" fontId="4" fillId="0" borderId="0" xfId="0" applyNumberFormat="1" applyFont="1" applyBorder="1"/>
    <xf numFmtId="0" fontId="7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Border="1"/>
    <xf numFmtId="0" fontId="8" fillId="0" borderId="0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8" fillId="0" borderId="40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165" fontId="8" fillId="0" borderId="41" xfId="0" applyNumberFormat="1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left"/>
    </xf>
    <xf numFmtId="166" fontId="8" fillId="0" borderId="1" xfId="0" applyNumberFormat="1" applyFont="1" applyFill="1" applyBorder="1" applyAlignment="1">
      <alignment horizontal="left"/>
    </xf>
    <xf numFmtId="0" fontId="8" fillId="0" borderId="16" xfId="0" applyFont="1" applyFill="1" applyBorder="1" applyAlignment="1">
      <alignment horizontal="left"/>
    </xf>
    <xf numFmtId="2" fontId="8" fillId="0" borderId="29" xfId="0" applyNumberFormat="1" applyFont="1" applyFill="1" applyBorder="1" applyAlignment="1">
      <alignment horizontal="left"/>
    </xf>
    <xf numFmtId="2" fontId="8" fillId="0" borderId="41" xfId="0" applyNumberFormat="1" applyFont="1" applyFill="1" applyBorder="1" applyAlignment="1">
      <alignment horizontal="left"/>
    </xf>
    <xf numFmtId="0" fontId="8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166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8" fillId="0" borderId="0" xfId="0" applyFont="1" applyFill="1"/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5" fontId="8" fillId="0" borderId="41" xfId="0" applyNumberFormat="1" applyFont="1" applyFill="1" applyBorder="1" applyAlignment="1">
      <alignment horizontal="right"/>
    </xf>
    <xf numFmtId="164" fontId="8" fillId="0" borderId="1" xfId="0" applyNumberFormat="1" applyFont="1" applyFill="1" applyBorder="1"/>
    <xf numFmtId="0" fontId="8" fillId="0" borderId="41" xfId="0" applyFont="1" applyFill="1" applyBorder="1" applyAlignment="1">
      <alignment horizontal="right"/>
    </xf>
    <xf numFmtId="2" fontId="8" fillId="0" borderId="1" xfId="0" applyNumberFormat="1" applyFont="1" applyFill="1" applyBorder="1"/>
    <xf numFmtId="0" fontId="8" fillId="0" borderId="41" xfId="0" applyFont="1" applyFill="1" applyBorder="1" applyAlignment="1">
      <alignment horizontal="center"/>
    </xf>
    <xf numFmtId="166" fontId="8" fillId="0" borderId="1" xfId="0" applyNumberFormat="1" applyFont="1" applyFill="1" applyBorder="1"/>
    <xf numFmtId="0" fontId="8" fillId="0" borderId="16" xfId="0" applyFont="1" applyFill="1" applyBorder="1" applyAlignment="1">
      <alignment horizontal="center"/>
    </xf>
    <xf numFmtId="2" fontId="8" fillId="0" borderId="29" xfId="0" applyNumberFormat="1" applyFont="1" applyFill="1" applyBorder="1"/>
    <xf numFmtId="2" fontId="8" fillId="0" borderId="41" xfId="0" applyNumberFormat="1" applyFont="1" applyFill="1" applyBorder="1"/>
    <xf numFmtId="164" fontId="8" fillId="0" borderId="1" xfId="0" applyNumberFormat="1" applyFont="1" applyFill="1" applyBorder="1" applyAlignment="1">
      <alignment horizontal="right"/>
    </xf>
    <xf numFmtId="0" fontId="8" fillId="0" borderId="20" xfId="0" applyFont="1" applyBorder="1"/>
    <xf numFmtId="0" fontId="8" fillId="0" borderId="0" xfId="0" applyFont="1" applyBorder="1"/>
    <xf numFmtId="0" fontId="4" fillId="0" borderId="21" xfId="0" applyFont="1" applyFill="1" applyBorder="1" applyAlignment="1">
      <alignment horizontal="center"/>
    </xf>
    <xf numFmtId="2" fontId="8" fillId="0" borderId="40" xfId="0" applyNumberFormat="1" applyFont="1" applyFill="1" applyBorder="1" applyAlignment="1">
      <alignment horizontal="left"/>
    </xf>
    <xf numFmtId="2" fontId="8" fillId="0" borderId="4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right"/>
    </xf>
    <xf numFmtId="2" fontId="8" fillId="0" borderId="0" xfId="0" applyNumberFormat="1" applyFont="1" applyFill="1" applyBorder="1"/>
    <xf numFmtId="2" fontId="8" fillId="0" borderId="42" xfId="0" applyNumberFormat="1" applyFont="1" applyFill="1" applyBorder="1" applyAlignment="1">
      <alignment horizontal="left"/>
    </xf>
    <xf numFmtId="2" fontId="8" fillId="0" borderId="1" xfId="0" applyNumberFormat="1" applyFont="1" applyFill="1" applyBorder="1" applyAlignment="1">
      <alignment horizontal="right"/>
    </xf>
    <xf numFmtId="2" fontId="8" fillId="0" borderId="25" xfId="0" applyNumberFormat="1" applyFont="1" applyFill="1" applyBorder="1" applyAlignment="1">
      <alignment horizontal="left"/>
    </xf>
    <xf numFmtId="2" fontId="8" fillId="0" borderId="0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left"/>
    </xf>
    <xf numFmtId="2" fontId="8" fillId="0" borderId="20" xfId="0" applyNumberFormat="1" applyFont="1" applyFill="1" applyBorder="1"/>
    <xf numFmtId="2" fontId="8" fillId="0" borderId="20" xfId="0" applyNumberFormat="1" applyFont="1" applyFill="1" applyBorder="1" applyAlignment="1">
      <alignment horizontal="left"/>
    </xf>
    <xf numFmtId="2" fontId="8" fillId="0" borderId="0" xfId="0" applyNumberFormat="1" applyFont="1" applyFill="1"/>
    <xf numFmtId="165" fontId="8" fillId="0" borderId="41" xfId="0" applyNumberFormat="1" applyFont="1" applyFill="1" applyBorder="1" applyAlignment="1">
      <alignment horizontal="center"/>
    </xf>
    <xf numFmtId="10" fontId="8" fillId="0" borderId="18" xfId="0" applyNumberFormat="1" applyFont="1" applyBorder="1"/>
    <xf numFmtId="0" fontId="10" fillId="0" borderId="20" xfId="0" applyFont="1" applyFill="1" applyBorder="1"/>
    <xf numFmtId="0" fontId="10" fillId="0" borderId="0" xfId="0" applyFont="1" applyFill="1" applyBorder="1"/>
    <xf numFmtId="2" fontId="8" fillId="0" borderId="16" xfId="0" applyNumberFormat="1" applyFont="1" applyFill="1" applyBorder="1" applyAlignment="1">
      <alignment horizontal="left"/>
    </xf>
    <xf numFmtId="0" fontId="8" fillId="0" borderId="20" xfId="0" applyFont="1" applyFill="1" applyBorder="1"/>
    <xf numFmtId="0" fontId="8" fillId="0" borderId="20" xfId="0" applyFont="1" applyFill="1" applyBorder="1" applyAlignment="1">
      <alignment horizontal="left"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left"/>
    </xf>
    <xf numFmtId="0" fontId="12" fillId="0" borderId="21" xfId="0" applyFont="1" applyFill="1" applyBorder="1" applyAlignment="1">
      <alignment horizontal="center"/>
    </xf>
    <xf numFmtId="2" fontId="11" fillId="0" borderId="40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164" fontId="11" fillId="0" borderId="1" xfId="0" applyNumberFormat="1" applyFont="1" applyFill="1" applyBorder="1"/>
    <xf numFmtId="2" fontId="11" fillId="0" borderId="0" xfId="0" applyNumberFormat="1" applyFont="1" applyFill="1" applyBorder="1"/>
    <xf numFmtId="2" fontId="11" fillId="0" borderId="41" xfId="0" applyNumberFormat="1" applyFont="1" applyFill="1" applyBorder="1" applyAlignment="1">
      <alignment horizontal="left"/>
    </xf>
    <xf numFmtId="2" fontId="11" fillId="0" borderId="41" xfId="0" applyNumberFormat="1" applyFont="1" applyFill="1" applyBorder="1" applyAlignment="1">
      <alignment horizontal="right"/>
    </xf>
    <xf numFmtId="2" fontId="11" fillId="0" borderId="42" xfId="0" applyNumberFormat="1" applyFont="1" applyFill="1" applyBorder="1" applyAlignment="1">
      <alignment horizontal="left"/>
    </xf>
    <xf numFmtId="2" fontId="11" fillId="0" borderId="1" xfId="0" applyNumberFormat="1" applyFont="1" applyFill="1" applyBorder="1" applyAlignment="1">
      <alignment horizontal="right"/>
    </xf>
    <xf numFmtId="2" fontId="11" fillId="0" borderId="25" xfId="0" applyNumberFormat="1" applyFont="1" applyFill="1" applyBorder="1" applyAlignment="1">
      <alignment horizontal="left"/>
    </xf>
    <xf numFmtId="2" fontId="11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left"/>
    </xf>
    <xf numFmtId="2" fontId="11" fillId="0" borderId="0" xfId="0" applyNumberFormat="1" applyFont="1" applyFill="1"/>
    <xf numFmtId="165" fontId="11" fillId="0" borderId="41" xfId="0" applyNumberFormat="1" applyFont="1" applyFill="1" applyBorder="1" applyAlignment="1">
      <alignment horizontal="center"/>
    </xf>
    <xf numFmtId="0" fontId="11" fillId="0" borderId="20" xfId="0" applyFont="1" applyFill="1" applyBorder="1"/>
    <xf numFmtId="2" fontId="11" fillId="0" borderId="20" xfId="0" applyNumberFormat="1" applyFont="1" applyFill="1" applyBorder="1"/>
    <xf numFmtId="2" fontId="11" fillId="0" borderId="20" xfId="0" applyNumberFormat="1" applyFont="1" applyFill="1" applyBorder="1" applyAlignment="1">
      <alignment horizontal="left"/>
    </xf>
    <xf numFmtId="0" fontId="0" fillId="0" borderId="0" xfId="0" applyFill="1"/>
    <xf numFmtId="0" fontId="12" fillId="0" borderId="21" xfId="0" applyFont="1" applyFill="1" applyBorder="1" applyAlignment="1"/>
    <xf numFmtId="2" fontId="11" fillId="0" borderId="1" xfId="0" applyNumberFormat="1" applyFont="1" applyFill="1" applyBorder="1"/>
    <xf numFmtId="167" fontId="11" fillId="0" borderId="41" xfId="0" applyNumberFormat="1" applyFont="1" applyFill="1" applyBorder="1" applyAlignment="1">
      <alignment horizontal="center"/>
    </xf>
    <xf numFmtId="0" fontId="11" fillId="0" borderId="0" xfId="0" applyFont="1"/>
    <xf numFmtId="2" fontId="11" fillId="0" borderId="41" xfId="0" applyNumberFormat="1" applyFont="1" applyFill="1" applyBorder="1"/>
    <xf numFmtId="2" fontId="14" fillId="0" borderId="0" xfId="0" applyNumberFormat="1" applyFont="1" applyFill="1"/>
    <xf numFmtId="164" fontId="3" fillId="0" borderId="46" xfId="0" applyNumberFormat="1" applyFont="1" applyBorder="1" applyAlignment="1"/>
    <xf numFmtId="164" fontId="3" fillId="0" borderId="46" xfId="0" applyNumberFormat="1" applyFont="1" applyFill="1" applyBorder="1" applyAlignment="1"/>
    <xf numFmtId="0" fontId="2" fillId="2" borderId="46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164" fontId="3" fillId="3" borderId="46" xfId="0" applyNumberFormat="1" applyFont="1" applyFill="1" applyBorder="1" applyAlignment="1"/>
    <xf numFmtId="164" fontId="3" fillId="4" borderId="46" xfId="0" applyNumberFormat="1" applyFont="1" applyFill="1" applyBorder="1" applyAlignment="1"/>
    <xf numFmtId="0" fontId="3" fillId="0" borderId="46" xfId="0" applyFont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1" xfId="0" applyFill="1" applyBorder="1"/>
    <xf numFmtId="10" fontId="0" fillId="0" borderId="1" xfId="0" applyNumberFormat="1" applyBorder="1"/>
    <xf numFmtId="0" fontId="0" fillId="0" borderId="1" xfId="0" applyNumberFormat="1" applyBorder="1"/>
    <xf numFmtId="0" fontId="8" fillId="7" borderId="1" xfId="0" applyFont="1" applyFill="1" applyBorder="1" applyAlignment="1">
      <alignment horizontal="center" wrapText="1"/>
    </xf>
    <xf numFmtId="0" fontId="8" fillId="7" borderId="1" xfId="0" applyFont="1" applyFill="1" applyBorder="1" applyAlignment="1">
      <alignment wrapText="1"/>
    </xf>
    <xf numFmtId="0" fontId="8" fillId="7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vertical="center"/>
    </xf>
    <xf numFmtId="0" fontId="4" fillId="8" borderId="5" xfId="0" applyFont="1" applyFill="1" applyBorder="1"/>
    <xf numFmtId="0" fontId="4" fillId="8" borderId="1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49" fontId="0" fillId="8" borderId="5" xfId="0" applyNumberFormat="1" applyFill="1" applyBorder="1"/>
    <xf numFmtId="0" fontId="0" fillId="8" borderId="1" xfId="0" applyFill="1" applyBorder="1" applyAlignment="1">
      <alignment horizontal="center"/>
    </xf>
    <xf numFmtId="0" fontId="0" fillId="8" borderId="1" xfId="0" applyFill="1" applyBorder="1"/>
    <xf numFmtId="164" fontId="0" fillId="8" borderId="1" xfId="0" applyNumberFormat="1" applyFill="1" applyBorder="1"/>
    <xf numFmtId="164" fontId="0" fillId="8" borderId="6" xfId="0" applyNumberFormat="1" applyFill="1" applyBorder="1"/>
    <xf numFmtId="0" fontId="0" fillId="8" borderId="5" xfId="0" applyFill="1" applyBorder="1"/>
    <xf numFmtId="165" fontId="0" fillId="8" borderId="1" xfId="0" applyNumberFormat="1" applyFill="1" applyBorder="1"/>
    <xf numFmtId="9" fontId="0" fillId="8" borderId="1" xfId="0" applyNumberFormat="1" applyFill="1" applyBorder="1"/>
    <xf numFmtId="164" fontId="0" fillId="8" borderId="7" xfId="0" applyNumberFormat="1" applyFill="1" applyBorder="1"/>
    <xf numFmtId="0" fontId="0" fillId="0" borderId="0" xfId="0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right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10" borderId="17" xfId="0" applyFont="1" applyFill="1" applyBorder="1"/>
    <xf numFmtId="0" fontId="7" fillId="10" borderId="21" xfId="0" applyFont="1" applyFill="1" applyBorder="1"/>
    <xf numFmtId="0" fontId="7" fillId="10" borderId="24" xfId="0" applyFont="1" applyFill="1" applyBorder="1"/>
    <xf numFmtId="0" fontId="7" fillId="10" borderId="27" xfId="0" applyFont="1" applyFill="1" applyBorder="1"/>
    <xf numFmtId="0" fontId="7" fillId="10" borderId="25" xfId="0" applyFont="1" applyFill="1" applyBorder="1"/>
    <xf numFmtId="0" fontId="7" fillId="10" borderId="28" xfId="0" applyFont="1" applyFill="1" applyBorder="1"/>
    <xf numFmtId="166" fontId="7" fillId="10" borderId="17" xfId="0" applyNumberFormat="1" applyFont="1" applyFill="1" applyBorder="1"/>
    <xf numFmtId="0" fontId="8" fillId="10" borderId="22" xfId="0" applyFont="1" applyFill="1" applyBorder="1"/>
    <xf numFmtId="0" fontId="8" fillId="10" borderId="18" xfId="0" applyFont="1" applyFill="1" applyBorder="1"/>
    <xf numFmtId="10" fontId="8" fillId="10" borderId="18" xfId="0" applyNumberFormat="1" applyFont="1" applyFill="1" applyBorder="1"/>
    <xf numFmtId="0" fontId="8" fillId="10" borderId="30" xfId="0" applyFont="1" applyFill="1" applyBorder="1"/>
    <xf numFmtId="0" fontId="1" fillId="10" borderId="31" xfId="0" applyFont="1" applyFill="1" applyBorder="1"/>
    <xf numFmtId="164" fontId="0" fillId="0" borderId="1" xfId="0" applyNumberFormat="1" applyBorder="1" applyAlignment="1"/>
    <xf numFmtId="0" fontId="15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6" fillId="6" borderId="1" xfId="0" applyFont="1" applyFill="1" applyBorder="1" applyAlignment="1">
      <alignment horizontal="center"/>
    </xf>
    <xf numFmtId="0" fontId="0" fillId="0" borderId="40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4" fillId="0" borderId="5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37" xfId="0" applyFont="1" applyBorder="1" applyAlignment="1">
      <alignment horizontal="right"/>
    </xf>
    <xf numFmtId="0" fontId="4" fillId="0" borderId="38" xfId="0" applyFont="1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4" fillId="8" borderId="43" xfId="0" applyFont="1" applyFill="1" applyBorder="1" applyAlignment="1">
      <alignment horizontal="center"/>
    </xf>
    <xf numFmtId="0" fontId="4" fillId="8" borderId="44" xfId="0" applyFont="1" applyFill="1" applyBorder="1" applyAlignment="1">
      <alignment horizontal="center"/>
    </xf>
    <xf numFmtId="0" fontId="4" fillId="8" borderId="45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right"/>
    </xf>
    <xf numFmtId="0" fontId="4" fillId="8" borderId="1" xfId="0" applyFont="1" applyFill="1" applyBorder="1" applyAlignment="1">
      <alignment horizontal="right"/>
    </xf>
    <xf numFmtId="0" fontId="4" fillId="8" borderId="37" xfId="0" applyFont="1" applyFill="1" applyBorder="1" applyAlignment="1">
      <alignment horizontal="right"/>
    </xf>
    <xf numFmtId="0" fontId="4" fillId="8" borderId="38" xfId="0" applyFont="1" applyFill="1" applyBorder="1" applyAlignment="1">
      <alignment horizontal="right"/>
    </xf>
    <xf numFmtId="0" fontId="4" fillId="8" borderId="5" xfId="0" applyFont="1" applyFill="1" applyBorder="1" applyAlignment="1">
      <alignment horizontal="left" indent="1"/>
    </xf>
    <xf numFmtId="0" fontId="0" fillId="8" borderId="1" xfId="0" applyFill="1" applyBorder="1" applyAlignment="1">
      <alignment horizontal="left" indent="1"/>
    </xf>
    <xf numFmtId="0" fontId="0" fillId="0" borderId="0" xfId="0" applyBorder="1" applyAlignment="1">
      <alignment horizontal="center"/>
    </xf>
    <xf numFmtId="0" fontId="15" fillId="5" borderId="40" xfId="0" applyFont="1" applyFill="1" applyBorder="1" applyAlignment="1">
      <alignment horizontal="center" vertical="center"/>
    </xf>
    <xf numFmtId="0" fontId="15" fillId="5" borderId="42" xfId="0" applyFont="1" applyFill="1" applyBorder="1" applyAlignment="1">
      <alignment horizontal="center" vertical="center"/>
    </xf>
    <xf numFmtId="0" fontId="15" fillId="5" borderId="41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4" fillId="0" borderId="40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right"/>
    </xf>
    <xf numFmtId="0" fontId="4" fillId="0" borderId="41" xfId="0" applyFont="1" applyFill="1" applyBorder="1" applyAlignment="1">
      <alignment horizontal="right"/>
    </xf>
    <xf numFmtId="0" fontId="4" fillId="0" borderId="40" xfId="0" applyFont="1" applyFill="1" applyBorder="1" applyAlignment="1">
      <alignment horizontal="left"/>
    </xf>
    <xf numFmtId="0" fontId="4" fillId="0" borderId="42" xfId="0" applyFont="1" applyFill="1" applyBorder="1" applyAlignment="1">
      <alignment horizontal="left"/>
    </xf>
    <xf numFmtId="0" fontId="4" fillId="0" borderId="41" xfId="0" applyFont="1" applyFill="1" applyBorder="1" applyAlignment="1">
      <alignment horizontal="left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2" fontId="8" fillId="0" borderId="40" xfId="0" applyNumberFormat="1" applyFont="1" applyFill="1" applyBorder="1" applyAlignment="1">
      <alignment horizontal="left"/>
    </xf>
    <xf numFmtId="2" fontId="8" fillId="0" borderId="41" xfId="0" applyNumberFormat="1" applyFont="1" applyFill="1" applyBorder="1" applyAlignment="1">
      <alignment horizontal="left"/>
    </xf>
    <xf numFmtId="2" fontId="4" fillId="0" borderId="40" xfId="0" applyNumberFormat="1" applyFont="1" applyFill="1" applyBorder="1" applyAlignment="1">
      <alignment horizontal="left"/>
    </xf>
    <xf numFmtId="2" fontId="4" fillId="0" borderId="42" xfId="0" applyNumberFormat="1" applyFont="1" applyFill="1" applyBorder="1" applyAlignment="1">
      <alignment horizontal="left"/>
    </xf>
    <xf numFmtId="2" fontId="4" fillId="0" borderId="41" xfId="0" applyNumberFormat="1" applyFont="1" applyFill="1" applyBorder="1" applyAlignment="1">
      <alignment horizontal="left"/>
    </xf>
    <xf numFmtId="2" fontId="4" fillId="0" borderId="40" xfId="0" applyNumberFormat="1" applyFont="1" applyFill="1" applyBorder="1" applyAlignment="1">
      <alignment horizontal="right"/>
    </xf>
    <xf numFmtId="2" fontId="4" fillId="0" borderId="42" xfId="0" applyNumberFormat="1" applyFont="1" applyFill="1" applyBorder="1" applyAlignment="1">
      <alignment horizontal="right"/>
    </xf>
    <xf numFmtId="2" fontId="4" fillId="0" borderId="41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2" fontId="4" fillId="0" borderId="20" xfId="0" applyNumberFormat="1" applyFont="1" applyFill="1" applyBorder="1" applyAlignment="1">
      <alignment horizontal="right"/>
    </xf>
    <xf numFmtId="0" fontId="4" fillId="0" borderId="25" xfId="0" applyFont="1" applyFill="1" applyBorder="1" applyAlignment="1">
      <alignment horizontal="left"/>
    </xf>
    <xf numFmtId="0" fontId="4" fillId="0" borderId="16" xfId="0" applyFont="1" applyFill="1" applyBorder="1" applyAlignment="1">
      <alignment horizontal="left"/>
    </xf>
    <xf numFmtId="0" fontId="4" fillId="0" borderId="29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2" fontId="8" fillId="0" borderId="40" xfId="0" applyNumberFormat="1" applyFont="1" applyFill="1" applyBorder="1" applyAlignment="1">
      <alignment horizontal="center"/>
    </xf>
    <xf numFmtId="2" fontId="8" fillId="0" borderId="41" xfId="0" applyNumberFormat="1" applyFont="1" applyFill="1" applyBorder="1" applyAlignment="1">
      <alignment horizontal="center"/>
    </xf>
    <xf numFmtId="2" fontId="11" fillId="0" borderId="40" xfId="0" applyNumberFormat="1" applyFont="1" applyFill="1" applyBorder="1" applyAlignment="1">
      <alignment horizontal="center"/>
    </xf>
    <xf numFmtId="2" fontId="11" fillId="0" borderId="41" xfId="0" applyNumberFormat="1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2" fontId="12" fillId="0" borderId="40" xfId="0" applyNumberFormat="1" applyFont="1" applyFill="1" applyBorder="1" applyAlignment="1">
      <alignment horizontal="right"/>
    </xf>
    <xf numFmtId="2" fontId="12" fillId="0" borderId="42" xfId="0" applyNumberFormat="1" applyFont="1" applyFill="1" applyBorder="1" applyAlignment="1">
      <alignment horizontal="right"/>
    </xf>
    <xf numFmtId="2" fontId="12" fillId="0" borderId="41" xfId="0" applyNumberFormat="1" applyFont="1" applyFill="1" applyBorder="1" applyAlignment="1">
      <alignment horizontal="right"/>
    </xf>
    <xf numFmtId="2" fontId="12" fillId="0" borderId="27" xfId="0" applyNumberFormat="1" applyFont="1" applyFill="1" applyBorder="1" applyAlignment="1">
      <alignment horizontal="right"/>
    </xf>
    <xf numFmtId="2" fontId="12" fillId="0" borderId="20" xfId="0" applyNumberFormat="1" applyFont="1" applyFill="1" applyBorder="1" applyAlignment="1">
      <alignment horizontal="right"/>
    </xf>
    <xf numFmtId="0" fontId="12" fillId="0" borderId="20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12" fillId="0" borderId="16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2" fillId="0" borderId="27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left"/>
    </xf>
    <xf numFmtId="0" fontId="12" fillId="0" borderId="26" xfId="0" applyFont="1" applyFill="1" applyBorder="1" applyAlignment="1">
      <alignment horizontal="left"/>
    </xf>
    <xf numFmtId="2" fontId="12" fillId="0" borderId="40" xfId="0" applyNumberFormat="1" applyFont="1" applyFill="1" applyBorder="1" applyAlignment="1">
      <alignment horizontal="left"/>
    </xf>
    <xf numFmtId="2" fontId="12" fillId="0" borderId="42" xfId="0" applyNumberFormat="1" applyFont="1" applyFill="1" applyBorder="1" applyAlignment="1">
      <alignment horizontal="left"/>
    </xf>
    <xf numFmtId="2" fontId="12" fillId="0" borderId="41" xfId="0" applyNumberFormat="1" applyFont="1" applyFill="1" applyBorder="1" applyAlignment="1">
      <alignment horizontal="left"/>
    </xf>
    <xf numFmtId="0" fontId="13" fillId="9" borderId="1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5" fillId="5" borderId="24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/>
    </xf>
    <xf numFmtId="0" fontId="15" fillId="5" borderId="8" xfId="0" applyFont="1" applyFill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10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M55"/>
  <sheetViews>
    <sheetView zoomScaleNormal="100" workbookViewId="0">
      <pane ySplit="6" topLeftCell="A32" activePane="bottomLeft" state="frozen"/>
      <selection pane="bottomLeft" activeCell="A4" sqref="A4:K4"/>
    </sheetView>
  </sheetViews>
  <sheetFormatPr baseColWidth="10" defaultRowHeight="13.2" x14ac:dyDescent="0.25"/>
  <cols>
    <col min="1" max="1" width="27.6640625" customWidth="1"/>
    <col min="5" max="5" width="12.6640625" customWidth="1"/>
  </cols>
  <sheetData>
    <row r="1" spans="1:13" ht="23.4" x14ac:dyDescent="0.25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3"/>
      <c r="M2" s="3"/>
    </row>
    <row r="3" spans="1:13" x14ac:dyDescent="0.25">
      <c r="A3" s="202" t="s">
        <v>562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  <c r="L3" s="3"/>
      <c r="M3" s="3"/>
    </row>
    <row r="4" spans="1:13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"/>
      <c r="M4" s="3"/>
    </row>
    <row r="5" spans="1:13" ht="21.6" thickBot="1" x14ac:dyDescent="0.45">
      <c r="A5" s="201" t="s">
        <v>563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</row>
    <row r="6" spans="1:13" ht="15" customHeight="1" thickBot="1" x14ac:dyDescent="0.3">
      <c r="A6" s="16" t="s">
        <v>68</v>
      </c>
      <c r="B6" s="156" t="s">
        <v>1</v>
      </c>
      <c r="C6" s="155" t="s">
        <v>15</v>
      </c>
      <c r="D6" s="155" t="s">
        <v>0</v>
      </c>
      <c r="E6" s="155" t="s">
        <v>2</v>
      </c>
      <c r="F6" s="155" t="s">
        <v>3</v>
      </c>
      <c r="G6" s="155" t="s">
        <v>4</v>
      </c>
      <c r="H6" s="155" t="s">
        <v>5</v>
      </c>
      <c r="I6" s="155" t="s">
        <v>6</v>
      </c>
      <c r="J6" s="155" t="s">
        <v>7</v>
      </c>
      <c r="K6" s="155" t="s">
        <v>8</v>
      </c>
      <c r="L6" s="155" t="s">
        <v>9</v>
      </c>
      <c r="M6" s="155" t="s">
        <v>10</v>
      </c>
    </row>
    <row r="7" spans="1:13" ht="15" customHeight="1" thickBot="1" x14ac:dyDescent="0.3">
      <c r="A7" s="17" t="s">
        <v>47</v>
      </c>
      <c r="B7" s="157">
        <v>0</v>
      </c>
      <c r="C7" s="154">
        <f t="shared" ref="C7:C55" si="0">B7*365.25</f>
        <v>0</v>
      </c>
      <c r="D7" s="153">
        <f t="shared" ref="D7:D55" si="1">B7*1.5</f>
        <v>0</v>
      </c>
      <c r="E7" s="153">
        <f t="shared" ref="E7:E55" si="2">B7*15</f>
        <v>0</v>
      </c>
      <c r="F7" s="153">
        <f t="shared" ref="F7:F55" si="3">C7+D7+E7</f>
        <v>0</v>
      </c>
      <c r="G7" s="153">
        <f t="shared" ref="G7:G55" si="4">F7*0.3376375</f>
        <v>0</v>
      </c>
      <c r="H7" s="153">
        <f t="shared" ref="H7:H55" si="5">F7*0.01</f>
        <v>0</v>
      </c>
      <c r="I7" s="153">
        <f t="shared" ref="I7:I55" si="6">C7*0.01</f>
        <v>0</v>
      </c>
      <c r="J7" s="153">
        <f t="shared" ref="J7:J55" si="7">F7*0.05</f>
        <v>0</v>
      </c>
      <c r="K7" s="153">
        <f t="shared" ref="K7:K55" si="8">F7*0.02</f>
        <v>0</v>
      </c>
      <c r="L7" s="153">
        <f t="shared" ref="L7:L55" si="9">SUM(F7:K7)</f>
        <v>0</v>
      </c>
      <c r="M7" s="158">
        <f t="shared" ref="M7:M55" si="10">L7/286.25</f>
        <v>0</v>
      </c>
    </row>
    <row r="8" spans="1:13" ht="15" customHeight="1" thickBot="1" x14ac:dyDescent="0.3">
      <c r="A8" s="17" t="s">
        <v>25</v>
      </c>
      <c r="B8" s="157">
        <v>0</v>
      </c>
      <c r="C8" s="154">
        <f t="shared" si="0"/>
        <v>0</v>
      </c>
      <c r="D8" s="153">
        <f t="shared" si="1"/>
        <v>0</v>
      </c>
      <c r="E8" s="153">
        <f t="shared" si="2"/>
        <v>0</v>
      </c>
      <c r="F8" s="153">
        <f t="shared" si="3"/>
        <v>0</v>
      </c>
      <c r="G8" s="153">
        <f t="shared" si="4"/>
        <v>0</v>
      </c>
      <c r="H8" s="153">
        <f t="shared" si="5"/>
        <v>0</v>
      </c>
      <c r="I8" s="153">
        <f t="shared" si="6"/>
        <v>0</v>
      </c>
      <c r="J8" s="153">
        <f t="shared" si="7"/>
        <v>0</v>
      </c>
      <c r="K8" s="153">
        <f t="shared" si="8"/>
        <v>0</v>
      </c>
      <c r="L8" s="153">
        <f t="shared" si="9"/>
        <v>0</v>
      </c>
      <c r="M8" s="158">
        <f t="shared" si="10"/>
        <v>0</v>
      </c>
    </row>
    <row r="9" spans="1:13" ht="15" customHeight="1" thickBot="1" x14ac:dyDescent="0.3">
      <c r="A9" s="17" t="s">
        <v>46</v>
      </c>
      <c r="B9" s="157">
        <v>0</v>
      </c>
      <c r="C9" s="154">
        <f t="shared" si="0"/>
        <v>0</v>
      </c>
      <c r="D9" s="153">
        <f t="shared" si="1"/>
        <v>0</v>
      </c>
      <c r="E9" s="153">
        <f t="shared" si="2"/>
        <v>0</v>
      </c>
      <c r="F9" s="153">
        <f t="shared" si="3"/>
        <v>0</v>
      </c>
      <c r="G9" s="153">
        <f t="shared" si="4"/>
        <v>0</v>
      </c>
      <c r="H9" s="153">
        <f t="shared" si="5"/>
        <v>0</v>
      </c>
      <c r="I9" s="153">
        <f t="shared" si="6"/>
        <v>0</v>
      </c>
      <c r="J9" s="153">
        <f t="shared" si="7"/>
        <v>0</v>
      </c>
      <c r="K9" s="153">
        <f t="shared" si="8"/>
        <v>0</v>
      </c>
      <c r="L9" s="153">
        <f t="shared" si="9"/>
        <v>0</v>
      </c>
      <c r="M9" s="158">
        <f t="shared" si="10"/>
        <v>0</v>
      </c>
    </row>
    <row r="10" spans="1:13" ht="15" customHeight="1" thickBot="1" x14ac:dyDescent="0.3">
      <c r="A10" s="17" t="s">
        <v>13</v>
      </c>
      <c r="B10" s="157">
        <v>0</v>
      </c>
      <c r="C10" s="154">
        <f t="shared" si="0"/>
        <v>0</v>
      </c>
      <c r="D10" s="153">
        <f t="shared" si="1"/>
        <v>0</v>
      </c>
      <c r="E10" s="153">
        <f t="shared" si="2"/>
        <v>0</v>
      </c>
      <c r="F10" s="153">
        <f t="shared" si="3"/>
        <v>0</v>
      </c>
      <c r="G10" s="153">
        <f t="shared" si="4"/>
        <v>0</v>
      </c>
      <c r="H10" s="153">
        <f t="shared" si="5"/>
        <v>0</v>
      </c>
      <c r="I10" s="153">
        <f t="shared" si="6"/>
        <v>0</v>
      </c>
      <c r="J10" s="153">
        <f t="shared" si="7"/>
        <v>0</v>
      </c>
      <c r="K10" s="153">
        <f t="shared" si="8"/>
        <v>0</v>
      </c>
      <c r="L10" s="153">
        <f t="shared" si="9"/>
        <v>0</v>
      </c>
      <c r="M10" s="158">
        <f t="shared" si="10"/>
        <v>0</v>
      </c>
    </row>
    <row r="11" spans="1:13" ht="15" customHeight="1" thickBot="1" x14ac:dyDescent="0.3">
      <c r="A11" s="17" t="s">
        <v>12</v>
      </c>
      <c r="B11" s="157">
        <v>0</v>
      </c>
      <c r="C11" s="154">
        <f>B11*365.25</f>
        <v>0</v>
      </c>
      <c r="D11" s="153">
        <f>B11*1.5</f>
        <v>0</v>
      </c>
      <c r="E11" s="153">
        <f>B11*15</f>
        <v>0</v>
      </c>
      <c r="F11" s="153">
        <f>C11+D11+E11</f>
        <v>0</v>
      </c>
      <c r="G11" s="153">
        <f>F11*0.3376375</f>
        <v>0</v>
      </c>
      <c r="H11" s="153">
        <f>F11*0.01</f>
        <v>0</v>
      </c>
      <c r="I11" s="153">
        <f>C11*0.01</f>
        <v>0</v>
      </c>
      <c r="J11" s="153">
        <f>F11*0.05</f>
        <v>0</v>
      </c>
      <c r="K11" s="153">
        <f>F11*0.02</f>
        <v>0</v>
      </c>
      <c r="L11" s="153">
        <f>SUM(F11:K11)</f>
        <v>0</v>
      </c>
      <c r="M11" s="158">
        <f>L11/286.25</f>
        <v>0</v>
      </c>
    </row>
    <row r="12" spans="1:13" ht="15" customHeight="1" thickBot="1" x14ac:dyDescent="0.3">
      <c r="A12" s="17" t="s">
        <v>14</v>
      </c>
      <c r="B12" s="157">
        <v>0</v>
      </c>
      <c r="C12" s="154">
        <f t="shared" si="0"/>
        <v>0</v>
      </c>
      <c r="D12" s="153">
        <f t="shared" si="1"/>
        <v>0</v>
      </c>
      <c r="E12" s="153">
        <f t="shared" si="2"/>
        <v>0</v>
      </c>
      <c r="F12" s="153">
        <f t="shared" si="3"/>
        <v>0</v>
      </c>
      <c r="G12" s="153">
        <f t="shared" si="4"/>
        <v>0</v>
      </c>
      <c r="H12" s="153">
        <f t="shared" si="5"/>
        <v>0</v>
      </c>
      <c r="I12" s="153">
        <f t="shared" si="6"/>
        <v>0</v>
      </c>
      <c r="J12" s="153">
        <f t="shared" si="7"/>
        <v>0</v>
      </c>
      <c r="K12" s="153">
        <f t="shared" si="8"/>
        <v>0</v>
      </c>
      <c r="L12" s="153">
        <f t="shared" si="9"/>
        <v>0</v>
      </c>
      <c r="M12" s="158">
        <f t="shared" si="10"/>
        <v>0</v>
      </c>
    </row>
    <row r="13" spans="1:13" ht="15" customHeight="1" thickBot="1" x14ac:dyDescent="0.3">
      <c r="A13" s="17" t="s">
        <v>40</v>
      </c>
      <c r="B13" s="157">
        <v>0</v>
      </c>
      <c r="C13" s="154">
        <f t="shared" si="0"/>
        <v>0</v>
      </c>
      <c r="D13" s="153">
        <f t="shared" si="1"/>
        <v>0</v>
      </c>
      <c r="E13" s="153">
        <f t="shared" si="2"/>
        <v>0</v>
      </c>
      <c r="F13" s="153">
        <f t="shared" si="3"/>
        <v>0</v>
      </c>
      <c r="G13" s="153">
        <f t="shared" si="4"/>
        <v>0</v>
      </c>
      <c r="H13" s="153">
        <f t="shared" si="5"/>
        <v>0</v>
      </c>
      <c r="I13" s="153">
        <f t="shared" si="6"/>
        <v>0</v>
      </c>
      <c r="J13" s="153">
        <f t="shared" si="7"/>
        <v>0</v>
      </c>
      <c r="K13" s="153">
        <f t="shared" si="8"/>
        <v>0</v>
      </c>
      <c r="L13" s="153">
        <f t="shared" si="9"/>
        <v>0</v>
      </c>
      <c r="M13" s="158">
        <f t="shared" si="10"/>
        <v>0</v>
      </c>
    </row>
    <row r="14" spans="1:13" ht="15" customHeight="1" thickBot="1" x14ac:dyDescent="0.3">
      <c r="A14" s="17" t="s">
        <v>42</v>
      </c>
      <c r="B14" s="157">
        <v>0</v>
      </c>
      <c r="C14" s="154">
        <f t="shared" si="0"/>
        <v>0</v>
      </c>
      <c r="D14" s="153">
        <f t="shared" si="1"/>
        <v>0</v>
      </c>
      <c r="E14" s="153">
        <f t="shared" si="2"/>
        <v>0</v>
      </c>
      <c r="F14" s="153">
        <f t="shared" si="3"/>
        <v>0</v>
      </c>
      <c r="G14" s="153">
        <f t="shared" si="4"/>
        <v>0</v>
      </c>
      <c r="H14" s="153">
        <f t="shared" si="5"/>
        <v>0</v>
      </c>
      <c r="I14" s="153">
        <f t="shared" si="6"/>
        <v>0</v>
      </c>
      <c r="J14" s="153">
        <f t="shared" si="7"/>
        <v>0</v>
      </c>
      <c r="K14" s="153">
        <f t="shared" si="8"/>
        <v>0</v>
      </c>
      <c r="L14" s="153">
        <f t="shared" si="9"/>
        <v>0</v>
      </c>
      <c r="M14" s="158">
        <f t="shared" si="10"/>
        <v>0</v>
      </c>
    </row>
    <row r="15" spans="1:13" ht="15" customHeight="1" thickBot="1" x14ac:dyDescent="0.3">
      <c r="A15" s="17" t="s">
        <v>53</v>
      </c>
      <c r="B15" s="157">
        <v>0</v>
      </c>
      <c r="C15" s="154">
        <f t="shared" si="0"/>
        <v>0</v>
      </c>
      <c r="D15" s="153">
        <f t="shared" si="1"/>
        <v>0</v>
      </c>
      <c r="E15" s="153">
        <f t="shared" si="2"/>
        <v>0</v>
      </c>
      <c r="F15" s="153">
        <f t="shared" si="3"/>
        <v>0</v>
      </c>
      <c r="G15" s="153">
        <f t="shared" si="4"/>
        <v>0</v>
      </c>
      <c r="H15" s="153">
        <f t="shared" si="5"/>
        <v>0</v>
      </c>
      <c r="I15" s="153">
        <f t="shared" si="6"/>
        <v>0</v>
      </c>
      <c r="J15" s="153">
        <f t="shared" si="7"/>
        <v>0</v>
      </c>
      <c r="K15" s="153">
        <f t="shared" si="8"/>
        <v>0</v>
      </c>
      <c r="L15" s="153">
        <f t="shared" si="9"/>
        <v>0</v>
      </c>
      <c r="M15" s="158">
        <f t="shared" si="10"/>
        <v>0</v>
      </c>
    </row>
    <row r="16" spans="1:13" ht="15" customHeight="1" thickBot="1" x14ac:dyDescent="0.3">
      <c r="A16" s="17" t="s">
        <v>52</v>
      </c>
      <c r="B16" s="157">
        <v>0</v>
      </c>
      <c r="C16" s="154">
        <f t="shared" si="0"/>
        <v>0</v>
      </c>
      <c r="D16" s="153">
        <f t="shared" si="1"/>
        <v>0</v>
      </c>
      <c r="E16" s="153">
        <f t="shared" si="2"/>
        <v>0</v>
      </c>
      <c r="F16" s="153">
        <f t="shared" si="3"/>
        <v>0</v>
      </c>
      <c r="G16" s="153">
        <f t="shared" si="4"/>
        <v>0</v>
      </c>
      <c r="H16" s="153">
        <f t="shared" si="5"/>
        <v>0</v>
      </c>
      <c r="I16" s="153">
        <f t="shared" si="6"/>
        <v>0</v>
      </c>
      <c r="J16" s="153">
        <f t="shared" si="7"/>
        <v>0</v>
      </c>
      <c r="K16" s="153">
        <f t="shared" si="8"/>
        <v>0</v>
      </c>
      <c r="L16" s="153">
        <f t="shared" si="9"/>
        <v>0</v>
      </c>
      <c r="M16" s="158">
        <f t="shared" si="10"/>
        <v>0</v>
      </c>
    </row>
    <row r="17" spans="1:13" ht="15" customHeight="1" thickBot="1" x14ac:dyDescent="0.3">
      <c r="A17" s="17" t="s">
        <v>45</v>
      </c>
      <c r="B17" s="157">
        <v>0</v>
      </c>
      <c r="C17" s="154">
        <f t="shared" si="0"/>
        <v>0</v>
      </c>
      <c r="D17" s="153">
        <f t="shared" si="1"/>
        <v>0</v>
      </c>
      <c r="E17" s="153">
        <f t="shared" si="2"/>
        <v>0</v>
      </c>
      <c r="F17" s="153">
        <f t="shared" si="3"/>
        <v>0</v>
      </c>
      <c r="G17" s="153">
        <f t="shared" si="4"/>
        <v>0</v>
      </c>
      <c r="H17" s="153">
        <f t="shared" si="5"/>
        <v>0</v>
      </c>
      <c r="I17" s="153">
        <f t="shared" si="6"/>
        <v>0</v>
      </c>
      <c r="J17" s="153">
        <f t="shared" si="7"/>
        <v>0</v>
      </c>
      <c r="K17" s="153">
        <f t="shared" si="8"/>
        <v>0</v>
      </c>
      <c r="L17" s="153">
        <f t="shared" si="9"/>
        <v>0</v>
      </c>
      <c r="M17" s="158">
        <f t="shared" si="10"/>
        <v>0</v>
      </c>
    </row>
    <row r="18" spans="1:13" ht="15" customHeight="1" thickBot="1" x14ac:dyDescent="0.3">
      <c r="A18" s="17" t="s">
        <v>18</v>
      </c>
      <c r="B18" s="157">
        <v>0</v>
      </c>
      <c r="C18" s="154">
        <f t="shared" si="0"/>
        <v>0</v>
      </c>
      <c r="D18" s="153">
        <f t="shared" si="1"/>
        <v>0</v>
      </c>
      <c r="E18" s="153">
        <f t="shared" si="2"/>
        <v>0</v>
      </c>
      <c r="F18" s="153">
        <f t="shared" si="3"/>
        <v>0</v>
      </c>
      <c r="G18" s="153">
        <f t="shared" si="4"/>
        <v>0</v>
      </c>
      <c r="H18" s="153">
        <f t="shared" si="5"/>
        <v>0</v>
      </c>
      <c r="I18" s="153">
        <f t="shared" si="6"/>
        <v>0</v>
      </c>
      <c r="J18" s="153">
        <f t="shared" si="7"/>
        <v>0</v>
      </c>
      <c r="K18" s="153">
        <f t="shared" si="8"/>
        <v>0</v>
      </c>
      <c r="L18" s="153">
        <f t="shared" si="9"/>
        <v>0</v>
      </c>
      <c r="M18" s="158">
        <f t="shared" si="10"/>
        <v>0</v>
      </c>
    </row>
    <row r="19" spans="1:13" ht="15" customHeight="1" thickBot="1" x14ac:dyDescent="0.3">
      <c r="A19" s="17" t="s">
        <v>17</v>
      </c>
      <c r="B19" s="157">
        <v>0</v>
      </c>
      <c r="C19" s="154">
        <f t="shared" si="0"/>
        <v>0</v>
      </c>
      <c r="D19" s="153">
        <f t="shared" si="1"/>
        <v>0</v>
      </c>
      <c r="E19" s="153">
        <f t="shared" si="2"/>
        <v>0</v>
      </c>
      <c r="F19" s="153">
        <f t="shared" si="3"/>
        <v>0</v>
      </c>
      <c r="G19" s="153">
        <f t="shared" si="4"/>
        <v>0</v>
      </c>
      <c r="H19" s="153">
        <f t="shared" si="5"/>
        <v>0</v>
      </c>
      <c r="I19" s="153">
        <f t="shared" si="6"/>
        <v>0</v>
      </c>
      <c r="J19" s="153">
        <f t="shared" si="7"/>
        <v>0</v>
      </c>
      <c r="K19" s="153">
        <f t="shared" si="8"/>
        <v>0</v>
      </c>
      <c r="L19" s="153">
        <f t="shared" si="9"/>
        <v>0</v>
      </c>
      <c r="M19" s="158">
        <f t="shared" si="10"/>
        <v>0</v>
      </c>
    </row>
    <row r="20" spans="1:13" ht="15" customHeight="1" thickBot="1" x14ac:dyDescent="0.3">
      <c r="A20" s="17" t="s">
        <v>51</v>
      </c>
      <c r="B20" s="157">
        <v>0</v>
      </c>
      <c r="C20" s="154">
        <f t="shared" si="0"/>
        <v>0</v>
      </c>
      <c r="D20" s="153">
        <f t="shared" si="1"/>
        <v>0</v>
      </c>
      <c r="E20" s="153">
        <f t="shared" si="2"/>
        <v>0</v>
      </c>
      <c r="F20" s="153">
        <f t="shared" si="3"/>
        <v>0</v>
      </c>
      <c r="G20" s="153">
        <f t="shared" si="4"/>
        <v>0</v>
      </c>
      <c r="H20" s="153">
        <f t="shared" si="5"/>
        <v>0</v>
      </c>
      <c r="I20" s="153">
        <f t="shared" si="6"/>
        <v>0</v>
      </c>
      <c r="J20" s="153">
        <f t="shared" si="7"/>
        <v>0</v>
      </c>
      <c r="K20" s="153">
        <f t="shared" si="8"/>
        <v>0</v>
      </c>
      <c r="L20" s="153">
        <f t="shared" si="9"/>
        <v>0</v>
      </c>
      <c r="M20" s="158">
        <f t="shared" si="10"/>
        <v>0</v>
      </c>
    </row>
    <row r="21" spans="1:13" ht="15" customHeight="1" thickBot="1" x14ac:dyDescent="0.3">
      <c r="A21" s="17" t="s">
        <v>35</v>
      </c>
      <c r="B21" s="157">
        <v>0</v>
      </c>
      <c r="C21" s="154">
        <f t="shared" si="0"/>
        <v>0</v>
      </c>
      <c r="D21" s="153">
        <f t="shared" si="1"/>
        <v>0</v>
      </c>
      <c r="E21" s="153">
        <f t="shared" si="2"/>
        <v>0</v>
      </c>
      <c r="F21" s="153">
        <f t="shared" si="3"/>
        <v>0</v>
      </c>
      <c r="G21" s="153">
        <f t="shared" si="4"/>
        <v>0</v>
      </c>
      <c r="H21" s="153">
        <f t="shared" si="5"/>
        <v>0</v>
      </c>
      <c r="I21" s="153">
        <f t="shared" si="6"/>
        <v>0</v>
      </c>
      <c r="J21" s="153">
        <f t="shared" si="7"/>
        <v>0</v>
      </c>
      <c r="K21" s="153">
        <f t="shared" si="8"/>
        <v>0</v>
      </c>
      <c r="L21" s="153">
        <f t="shared" si="9"/>
        <v>0</v>
      </c>
      <c r="M21" s="158">
        <f t="shared" si="10"/>
        <v>0</v>
      </c>
    </row>
    <row r="22" spans="1:13" ht="15" customHeight="1" thickBot="1" x14ac:dyDescent="0.3">
      <c r="A22" s="17" t="s">
        <v>29</v>
      </c>
      <c r="B22" s="157">
        <v>0</v>
      </c>
      <c r="C22" s="154">
        <f t="shared" si="0"/>
        <v>0</v>
      </c>
      <c r="D22" s="153">
        <f t="shared" si="1"/>
        <v>0</v>
      </c>
      <c r="E22" s="153">
        <f t="shared" si="2"/>
        <v>0</v>
      </c>
      <c r="F22" s="153">
        <f t="shared" si="3"/>
        <v>0</v>
      </c>
      <c r="G22" s="153">
        <f t="shared" si="4"/>
        <v>0</v>
      </c>
      <c r="H22" s="153">
        <f t="shared" si="5"/>
        <v>0</v>
      </c>
      <c r="I22" s="153">
        <f t="shared" si="6"/>
        <v>0</v>
      </c>
      <c r="J22" s="153">
        <f t="shared" si="7"/>
        <v>0</v>
      </c>
      <c r="K22" s="153">
        <f t="shared" si="8"/>
        <v>0</v>
      </c>
      <c r="L22" s="153">
        <f t="shared" si="9"/>
        <v>0</v>
      </c>
      <c r="M22" s="158">
        <f t="shared" si="10"/>
        <v>0</v>
      </c>
    </row>
    <row r="23" spans="1:13" ht="15" customHeight="1" thickBot="1" x14ac:dyDescent="0.3">
      <c r="A23" s="17" t="s">
        <v>19</v>
      </c>
      <c r="B23" s="157">
        <v>0</v>
      </c>
      <c r="C23" s="154">
        <f t="shared" si="0"/>
        <v>0</v>
      </c>
      <c r="D23" s="153">
        <f t="shared" si="1"/>
        <v>0</v>
      </c>
      <c r="E23" s="153">
        <f t="shared" si="2"/>
        <v>0</v>
      </c>
      <c r="F23" s="153">
        <f t="shared" si="3"/>
        <v>0</v>
      </c>
      <c r="G23" s="153">
        <f t="shared" si="4"/>
        <v>0</v>
      </c>
      <c r="H23" s="153">
        <f t="shared" si="5"/>
        <v>0</v>
      </c>
      <c r="I23" s="153">
        <f t="shared" si="6"/>
        <v>0</v>
      </c>
      <c r="J23" s="153">
        <f t="shared" si="7"/>
        <v>0</v>
      </c>
      <c r="K23" s="153">
        <f t="shared" si="8"/>
        <v>0</v>
      </c>
      <c r="L23" s="153">
        <f t="shared" si="9"/>
        <v>0</v>
      </c>
      <c r="M23" s="158">
        <f t="shared" si="10"/>
        <v>0</v>
      </c>
    </row>
    <row r="24" spans="1:13" ht="15" customHeight="1" thickBot="1" x14ac:dyDescent="0.3">
      <c r="A24" s="17" t="s">
        <v>22</v>
      </c>
      <c r="B24" s="157">
        <v>0</v>
      </c>
      <c r="C24" s="154">
        <f t="shared" si="0"/>
        <v>0</v>
      </c>
      <c r="D24" s="153">
        <f t="shared" si="1"/>
        <v>0</v>
      </c>
      <c r="E24" s="153">
        <f t="shared" si="2"/>
        <v>0</v>
      </c>
      <c r="F24" s="153">
        <f t="shared" si="3"/>
        <v>0</v>
      </c>
      <c r="G24" s="153">
        <f t="shared" si="4"/>
        <v>0</v>
      </c>
      <c r="H24" s="153">
        <f t="shared" si="5"/>
        <v>0</v>
      </c>
      <c r="I24" s="153">
        <f t="shared" si="6"/>
        <v>0</v>
      </c>
      <c r="J24" s="153">
        <f t="shared" si="7"/>
        <v>0</v>
      </c>
      <c r="K24" s="153">
        <f t="shared" si="8"/>
        <v>0</v>
      </c>
      <c r="L24" s="153">
        <f t="shared" si="9"/>
        <v>0</v>
      </c>
      <c r="M24" s="158">
        <f t="shared" si="10"/>
        <v>0</v>
      </c>
    </row>
    <row r="25" spans="1:13" ht="15" customHeight="1" thickBot="1" x14ac:dyDescent="0.3">
      <c r="A25" s="17" t="s">
        <v>48</v>
      </c>
      <c r="B25" s="157">
        <v>0</v>
      </c>
      <c r="C25" s="154">
        <f t="shared" si="0"/>
        <v>0</v>
      </c>
      <c r="D25" s="153">
        <f t="shared" si="1"/>
        <v>0</v>
      </c>
      <c r="E25" s="153">
        <f t="shared" si="2"/>
        <v>0</v>
      </c>
      <c r="F25" s="153">
        <f t="shared" si="3"/>
        <v>0</v>
      </c>
      <c r="G25" s="153">
        <f t="shared" si="4"/>
        <v>0</v>
      </c>
      <c r="H25" s="153">
        <f t="shared" si="5"/>
        <v>0</v>
      </c>
      <c r="I25" s="153">
        <f t="shared" si="6"/>
        <v>0</v>
      </c>
      <c r="J25" s="153">
        <f t="shared" si="7"/>
        <v>0</v>
      </c>
      <c r="K25" s="153">
        <f t="shared" si="8"/>
        <v>0</v>
      </c>
      <c r="L25" s="153">
        <f t="shared" si="9"/>
        <v>0</v>
      </c>
      <c r="M25" s="158">
        <f t="shared" si="10"/>
        <v>0</v>
      </c>
    </row>
    <row r="26" spans="1:13" ht="15" customHeight="1" thickBot="1" x14ac:dyDescent="0.3">
      <c r="A26" s="17" t="s">
        <v>58</v>
      </c>
      <c r="B26" s="157">
        <v>0</v>
      </c>
      <c r="C26" s="154">
        <f t="shared" si="0"/>
        <v>0</v>
      </c>
      <c r="D26" s="153">
        <f t="shared" si="1"/>
        <v>0</v>
      </c>
      <c r="E26" s="153">
        <f t="shared" si="2"/>
        <v>0</v>
      </c>
      <c r="F26" s="153">
        <f t="shared" si="3"/>
        <v>0</v>
      </c>
      <c r="G26" s="153">
        <f t="shared" si="4"/>
        <v>0</v>
      </c>
      <c r="H26" s="153">
        <f t="shared" si="5"/>
        <v>0</v>
      </c>
      <c r="I26" s="153">
        <f t="shared" si="6"/>
        <v>0</v>
      </c>
      <c r="J26" s="153">
        <f t="shared" si="7"/>
        <v>0</v>
      </c>
      <c r="K26" s="153">
        <f t="shared" si="8"/>
        <v>0</v>
      </c>
      <c r="L26" s="153">
        <f t="shared" si="9"/>
        <v>0</v>
      </c>
      <c r="M26" s="158">
        <f t="shared" si="10"/>
        <v>0</v>
      </c>
    </row>
    <row r="27" spans="1:13" ht="15" customHeight="1" thickBot="1" x14ac:dyDescent="0.3">
      <c r="A27" s="17" t="s">
        <v>43</v>
      </c>
      <c r="B27" s="157">
        <v>0</v>
      </c>
      <c r="C27" s="154">
        <f t="shared" si="0"/>
        <v>0</v>
      </c>
      <c r="D27" s="153">
        <f t="shared" si="1"/>
        <v>0</v>
      </c>
      <c r="E27" s="153">
        <f t="shared" si="2"/>
        <v>0</v>
      </c>
      <c r="F27" s="153">
        <f t="shared" si="3"/>
        <v>0</v>
      </c>
      <c r="G27" s="153">
        <f t="shared" si="4"/>
        <v>0</v>
      </c>
      <c r="H27" s="153">
        <f t="shared" si="5"/>
        <v>0</v>
      </c>
      <c r="I27" s="153">
        <f t="shared" si="6"/>
        <v>0</v>
      </c>
      <c r="J27" s="153">
        <f t="shared" si="7"/>
        <v>0</v>
      </c>
      <c r="K27" s="153">
        <f t="shared" si="8"/>
        <v>0</v>
      </c>
      <c r="L27" s="153">
        <f t="shared" si="9"/>
        <v>0</v>
      </c>
      <c r="M27" s="158">
        <f t="shared" si="10"/>
        <v>0</v>
      </c>
    </row>
    <row r="28" spans="1:13" ht="15" customHeight="1" thickBot="1" x14ac:dyDescent="0.3">
      <c r="A28" s="17" t="s">
        <v>36</v>
      </c>
      <c r="B28" s="157">
        <v>0</v>
      </c>
      <c r="C28" s="154">
        <f t="shared" si="0"/>
        <v>0</v>
      </c>
      <c r="D28" s="153">
        <f t="shared" si="1"/>
        <v>0</v>
      </c>
      <c r="E28" s="153">
        <f t="shared" si="2"/>
        <v>0</v>
      </c>
      <c r="F28" s="153">
        <f t="shared" si="3"/>
        <v>0</v>
      </c>
      <c r="G28" s="153">
        <f t="shared" si="4"/>
        <v>0</v>
      </c>
      <c r="H28" s="153">
        <f t="shared" si="5"/>
        <v>0</v>
      </c>
      <c r="I28" s="153">
        <f t="shared" si="6"/>
        <v>0</v>
      </c>
      <c r="J28" s="153">
        <f t="shared" si="7"/>
        <v>0</v>
      </c>
      <c r="K28" s="153">
        <f t="shared" si="8"/>
        <v>0</v>
      </c>
      <c r="L28" s="153">
        <f t="shared" si="9"/>
        <v>0</v>
      </c>
      <c r="M28" s="158">
        <f t="shared" si="10"/>
        <v>0</v>
      </c>
    </row>
    <row r="29" spans="1:13" ht="15" customHeight="1" thickBot="1" x14ac:dyDescent="0.3">
      <c r="A29" s="17" t="s">
        <v>37</v>
      </c>
      <c r="B29" s="157">
        <v>0</v>
      </c>
      <c r="C29" s="154">
        <f t="shared" si="0"/>
        <v>0</v>
      </c>
      <c r="D29" s="153">
        <f t="shared" si="1"/>
        <v>0</v>
      </c>
      <c r="E29" s="153">
        <f t="shared" si="2"/>
        <v>0</v>
      </c>
      <c r="F29" s="153">
        <f t="shared" si="3"/>
        <v>0</v>
      </c>
      <c r="G29" s="153">
        <f t="shared" si="4"/>
        <v>0</v>
      </c>
      <c r="H29" s="153">
        <f t="shared" si="5"/>
        <v>0</v>
      </c>
      <c r="I29" s="153">
        <f t="shared" si="6"/>
        <v>0</v>
      </c>
      <c r="J29" s="153">
        <f t="shared" si="7"/>
        <v>0</v>
      </c>
      <c r="K29" s="153">
        <f t="shared" si="8"/>
        <v>0</v>
      </c>
      <c r="L29" s="153">
        <f t="shared" si="9"/>
        <v>0</v>
      </c>
      <c r="M29" s="158">
        <f t="shared" si="10"/>
        <v>0</v>
      </c>
    </row>
    <row r="30" spans="1:13" ht="15" customHeight="1" thickBot="1" x14ac:dyDescent="0.3">
      <c r="A30" s="17" t="s">
        <v>44</v>
      </c>
      <c r="B30" s="157">
        <v>0</v>
      </c>
      <c r="C30" s="154">
        <f t="shared" si="0"/>
        <v>0</v>
      </c>
      <c r="D30" s="153">
        <f t="shared" si="1"/>
        <v>0</v>
      </c>
      <c r="E30" s="153">
        <f t="shared" si="2"/>
        <v>0</v>
      </c>
      <c r="F30" s="153">
        <f t="shared" si="3"/>
        <v>0</v>
      </c>
      <c r="G30" s="153">
        <f t="shared" si="4"/>
        <v>0</v>
      </c>
      <c r="H30" s="153">
        <f t="shared" si="5"/>
        <v>0</v>
      </c>
      <c r="I30" s="153">
        <f t="shared" si="6"/>
        <v>0</v>
      </c>
      <c r="J30" s="153">
        <f t="shared" si="7"/>
        <v>0</v>
      </c>
      <c r="K30" s="153">
        <f t="shared" si="8"/>
        <v>0</v>
      </c>
      <c r="L30" s="153">
        <f t="shared" si="9"/>
        <v>0</v>
      </c>
      <c r="M30" s="158">
        <f t="shared" si="10"/>
        <v>0</v>
      </c>
    </row>
    <row r="31" spans="1:13" ht="15" customHeight="1" thickBot="1" x14ac:dyDescent="0.3">
      <c r="A31" s="17" t="s">
        <v>85</v>
      </c>
      <c r="B31" s="157">
        <v>0</v>
      </c>
      <c r="C31" s="154">
        <f t="shared" si="0"/>
        <v>0</v>
      </c>
      <c r="D31" s="153">
        <f t="shared" si="1"/>
        <v>0</v>
      </c>
      <c r="E31" s="153">
        <f t="shared" si="2"/>
        <v>0</v>
      </c>
      <c r="F31" s="153">
        <f t="shared" si="3"/>
        <v>0</v>
      </c>
      <c r="G31" s="153">
        <f t="shared" si="4"/>
        <v>0</v>
      </c>
      <c r="H31" s="153">
        <f t="shared" si="5"/>
        <v>0</v>
      </c>
      <c r="I31" s="153">
        <f t="shared" si="6"/>
        <v>0</v>
      </c>
      <c r="J31" s="153">
        <f t="shared" si="7"/>
        <v>0</v>
      </c>
      <c r="K31" s="153">
        <f t="shared" si="8"/>
        <v>0</v>
      </c>
      <c r="L31" s="153">
        <f t="shared" si="9"/>
        <v>0</v>
      </c>
      <c r="M31" s="158">
        <f t="shared" si="10"/>
        <v>0</v>
      </c>
    </row>
    <row r="32" spans="1:13" ht="15" customHeight="1" thickBot="1" x14ac:dyDescent="0.3">
      <c r="A32" s="17" t="s">
        <v>30</v>
      </c>
      <c r="B32" s="157">
        <v>0</v>
      </c>
      <c r="C32" s="154">
        <f t="shared" si="0"/>
        <v>0</v>
      </c>
      <c r="D32" s="153">
        <f t="shared" si="1"/>
        <v>0</v>
      </c>
      <c r="E32" s="153">
        <f t="shared" si="2"/>
        <v>0</v>
      </c>
      <c r="F32" s="153">
        <f t="shared" si="3"/>
        <v>0</v>
      </c>
      <c r="G32" s="153">
        <f t="shared" si="4"/>
        <v>0</v>
      </c>
      <c r="H32" s="153">
        <f t="shared" si="5"/>
        <v>0</v>
      </c>
      <c r="I32" s="153">
        <f t="shared" si="6"/>
        <v>0</v>
      </c>
      <c r="J32" s="153">
        <f t="shared" si="7"/>
        <v>0</v>
      </c>
      <c r="K32" s="153">
        <f t="shared" si="8"/>
        <v>0</v>
      </c>
      <c r="L32" s="153">
        <f t="shared" si="9"/>
        <v>0</v>
      </c>
      <c r="M32" s="158">
        <f t="shared" si="10"/>
        <v>0</v>
      </c>
    </row>
    <row r="33" spans="1:13" ht="15" customHeight="1" thickBot="1" x14ac:dyDescent="0.3">
      <c r="A33" s="17" t="s">
        <v>16</v>
      </c>
      <c r="B33" s="157">
        <v>0</v>
      </c>
      <c r="C33" s="154">
        <f t="shared" si="0"/>
        <v>0</v>
      </c>
      <c r="D33" s="153">
        <f t="shared" si="1"/>
        <v>0</v>
      </c>
      <c r="E33" s="153">
        <f t="shared" si="2"/>
        <v>0</v>
      </c>
      <c r="F33" s="153">
        <f t="shared" si="3"/>
        <v>0</v>
      </c>
      <c r="G33" s="153">
        <f t="shared" si="4"/>
        <v>0</v>
      </c>
      <c r="H33" s="153">
        <f t="shared" si="5"/>
        <v>0</v>
      </c>
      <c r="I33" s="153">
        <f t="shared" si="6"/>
        <v>0</v>
      </c>
      <c r="J33" s="153">
        <f t="shared" si="7"/>
        <v>0</v>
      </c>
      <c r="K33" s="153">
        <f t="shared" si="8"/>
        <v>0</v>
      </c>
      <c r="L33" s="153">
        <f t="shared" si="9"/>
        <v>0</v>
      </c>
      <c r="M33" s="158">
        <f t="shared" si="10"/>
        <v>0</v>
      </c>
    </row>
    <row r="34" spans="1:13" ht="15" customHeight="1" thickBot="1" x14ac:dyDescent="0.3">
      <c r="A34" s="17" t="s">
        <v>28</v>
      </c>
      <c r="B34" s="157">
        <v>0</v>
      </c>
      <c r="C34" s="154">
        <f t="shared" si="0"/>
        <v>0</v>
      </c>
      <c r="D34" s="153">
        <f t="shared" si="1"/>
        <v>0</v>
      </c>
      <c r="E34" s="153">
        <f t="shared" si="2"/>
        <v>0</v>
      </c>
      <c r="F34" s="153">
        <f t="shared" si="3"/>
        <v>0</v>
      </c>
      <c r="G34" s="153">
        <f t="shared" si="4"/>
        <v>0</v>
      </c>
      <c r="H34" s="153">
        <f t="shared" si="5"/>
        <v>0</v>
      </c>
      <c r="I34" s="153">
        <f t="shared" si="6"/>
        <v>0</v>
      </c>
      <c r="J34" s="153">
        <f t="shared" si="7"/>
        <v>0</v>
      </c>
      <c r="K34" s="153">
        <f t="shared" si="8"/>
        <v>0</v>
      </c>
      <c r="L34" s="153">
        <f t="shared" si="9"/>
        <v>0</v>
      </c>
      <c r="M34" s="158">
        <f t="shared" si="10"/>
        <v>0</v>
      </c>
    </row>
    <row r="35" spans="1:13" ht="15" customHeight="1" thickBot="1" x14ac:dyDescent="0.3">
      <c r="A35" s="17" t="s">
        <v>33</v>
      </c>
      <c r="B35" s="157">
        <v>0</v>
      </c>
      <c r="C35" s="154">
        <f t="shared" si="0"/>
        <v>0</v>
      </c>
      <c r="D35" s="153">
        <f t="shared" si="1"/>
        <v>0</v>
      </c>
      <c r="E35" s="153">
        <f t="shared" si="2"/>
        <v>0</v>
      </c>
      <c r="F35" s="153">
        <f t="shared" si="3"/>
        <v>0</v>
      </c>
      <c r="G35" s="153">
        <f t="shared" si="4"/>
        <v>0</v>
      </c>
      <c r="H35" s="153">
        <f t="shared" si="5"/>
        <v>0</v>
      </c>
      <c r="I35" s="153">
        <f t="shared" si="6"/>
        <v>0</v>
      </c>
      <c r="J35" s="153">
        <f t="shared" si="7"/>
        <v>0</v>
      </c>
      <c r="K35" s="153">
        <f t="shared" si="8"/>
        <v>0</v>
      </c>
      <c r="L35" s="153">
        <f t="shared" si="9"/>
        <v>0</v>
      </c>
      <c r="M35" s="158">
        <f t="shared" si="10"/>
        <v>0</v>
      </c>
    </row>
    <row r="36" spans="1:13" ht="15" customHeight="1" thickBot="1" x14ac:dyDescent="0.3">
      <c r="A36" s="17" t="s">
        <v>31</v>
      </c>
      <c r="B36" s="157">
        <v>0</v>
      </c>
      <c r="C36" s="154">
        <f t="shared" si="0"/>
        <v>0</v>
      </c>
      <c r="D36" s="153">
        <f t="shared" si="1"/>
        <v>0</v>
      </c>
      <c r="E36" s="153">
        <f t="shared" si="2"/>
        <v>0</v>
      </c>
      <c r="F36" s="153">
        <f t="shared" si="3"/>
        <v>0</v>
      </c>
      <c r="G36" s="153">
        <f t="shared" si="4"/>
        <v>0</v>
      </c>
      <c r="H36" s="153">
        <f t="shared" si="5"/>
        <v>0</v>
      </c>
      <c r="I36" s="153">
        <f t="shared" si="6"/>
        <v>0</v>
      </c>
      <c r="J36" s="153">
        <f t="shared" si="7"/>
        <v>0</v>
      </c>
      <c r="K36" s="153">
        <f t="shared" si="8"/>
        <v>0</v>
      </c>
      <c r="L36" s="153">
        <f t="shared" si="9"/>
        <v>0</v>
      </c>
      <c r="M36" s="158">
        <f t="shared" si="10"/>
        <v>0</v>
      </c>
    </row>
    <row r="37" spans="1:13" ht="15" customHeight="1" thickBot="1" x14ac:dyDescent="0.3">
      <c r="A37" s="17" t="s">
        <v>34</v>
      </c>
      <c r="B37" s="157">
        <v>0</v>
      </c>
      <c r="C37" s="154">
        <f t="shared" si="0"/>
        <v>0</v>
      </c>
      <c r="D37" s="153">
        <f t="shared" si="1"/>
        <v>0</v>
      </c>
      <c r="E37" s="153">
        <f t="shared" si="2"/>
        <v>0</v>
      </c>
      <c r="F37" s="153">
        <f t="shared" si="3"/>
        <v>0</v>
      </c>
      <c r="G37" s="153">
        <f t="shared" si="4"/>
        <v>0</v>
      </c>
      <c r="H37" s="153">
        <f t="shared" si="5"/>
        <v>0</v>
      </c>
      <c r="I37" s="153">
        <f t="shared" si="6"/>
        <v>0</v>
      </c>
      <c r="J37" s="153">
        <f t="shared" si="7"/>
        <v>0</v>
      </c>
      <c r="K37" s="153">
        <f t="shared" si="8"/>
        <v>0</v>
      </c>
      <c r="L37" s="153">
        <f t="shared" si="9"/>
        <v>0</v>
      </c>
      <c r="M37" s="158">
        <f t="shared" si="10"/>
        <v>0</v>
      </c>
    </row>
    <row r="38" spans="1:13" ht="15" customHeight="1" thickBot="1" x14ac:dyDescent="0.3">
      <c r="A38" s="17" t="s">
        <v>32</v>
      </c>
      <c r="B38" s="157">
        <v>0</v>
      </c>
      <c r="C38" s="154">
        <f t="shared" si="0"/>
        <v>0</v>
      </c>
      <c r="D38" s="153">
        <f t="shared" si="1"/>
        <v>0</v>
      </c>
      <c r="E38" s="153">
        <f t="shared" si="2"/>
        <v>0</v>
      </c>
      <c r="F38" s="153">
        <f t="shared" si="3"/>
        <v>0</v>
      </c>
      <c r="G38" s="153">
        <f t="shared" si="4"/>
        <v>0</v>
      </c>
      <c r="H38" s="153">
        <f t="shared" si="5"/>
        <v>0</v>
      </c>
      <c r="I38" s="153">
        <f t="shared" si="6"/>
        <v>0</v>
      </c>
      <c r="J38" s="153">
        <f t="shared" si="7"/>
        <v>0</v>
      </c>
      <c r="K38" s="153">
        <f t="shared" si="8"/>
        <v>0</v>
      </c>
      <c r="L38" s="153">
        <f t="shared" si="9"/>
        <v>0</v>
      </c>
      <c r="M38" s="158">
        <f t="shared" si="10"/>
        <v>0</v>
      </c>
    </row>
    <row r="39" spans="1:13" ht="15" customHeight="1" thickBot="1" x14ac:dyDescent="0.3">
      <c r="A39" s="17" t="s">
        <v>11</v>
      </c>
      <c r="B39" s="157">
        <v>0</v>
      </c>
      <c r="C39" s="154">
        <f>B39*365.25</f>
        <v>0</v>
      </c>
      <c r="D39" s="153">
        <f>B39*1.5</f>
        <v>0</v>
      </c>
      <c r="E39" s="153">
        <f>B39*15</f>
        <v>0</v>
      </c>
      <c r="F39" s="153">
        <f>C39+D39+E39</f>
        <v>0</v>
      </c>
      <c r="G39" s="153">
        <f>F39*0.3376375</f>
        <v>0</v>
      </c>
      <c r="H39" s="153">
        <f>F39*0.01</f>
        <v>0</v>
      </c>
      <c r="I39" s="153">
        <f>C39*0.01</f>
        <v>0</v>
      </c>
      <c r="J39" s="153">
        <f>F39*0.05</f>
        <v>0</v>
      </c>
      <c r="K39" s="153">
        <f>F39*0.02</f>
        <v>0</v>
      </c>
      <c r="L39" s="153">
        <f>SUM(F39:K39)</f>
        <v>0</v>
      </c>
      <c r="M39" s="158">
        <f>L39/286.25</f>
        <v>0</v>
      </c>
    </row>
    <row r="40" spans="1:13" ht="15" customHeight="1" thickBot="1" x14ac:dyDescent="0.3">
      <c r="A40" s="17" t="s">
        <v>21</v>
      </c>
      <c r="B40" s="157">
        <v>0</v>
      </c>
      <c r="C40" s="154">
        <f t="shared" si="0"/>
        <v>0</v>
      </c>
      <c r="D40" s="153">
        <f t="shared" si="1"/>
        <v>0</v>
      </c>
      <c r="E40" s="153">
        <f t="shared" si="2"/>
        <v>0</v>
      </c>
      <c r="F40" s="153">
        <f t="shared" si="3"/>
        <v>0</v>
      </c>
      <c r="G40" s="153">
        <f t="shared" si="4"/>
        <v>0</v>
      </c>
      <c r="H40" s="153">
        <f t="shared" si="5"/>
        <v>0</v>
      </c>
      <c r="I40" s="153">
        <f t="shared" si="6"/>
        <v>0</v>
      </c>
      <c r="J40" s="153">
        <f t="shared" si="7"/>
        <v>0</v>
      </c>
      <c r="K40" s="153">
        <f t="shared" si="8"/>
        <v>0</v>
      </c>
      <c r="L40" s="153">
        <f t="shared" si="9"/>
        <v>0</v>
      </c>
      <c r="M40" s="158">
        <f t="shared" si="10"/>
        <v>0</v>
      </c>
    </row>
    <row r="41" spans="1:13" ht="15" customHeight="1" thickBot="1" x14ac:dyDescent="0.3">
      <c r="A41" s="17" t="s">
        <v>27</v>
      </c>
      <c r="B41" s="157">
        <v>0</v>
      </c>
      <c r="C41" s="154">
        <f t="shared" si="0"/>
        <v>0</v>
      </c>
      <c r="D41" s="153">
        <f t="shared" si="1"/>
        <v>0</v>
      </c>
      <c r="E41" s="153">
        <f t="shared" si="2"/>
        <v>0</v>
      </c>
      <c r="F41" s="153">
        <f t="shared" si="3"/>
        <v>0</v>
      </c>
      <c r="G41" s="153">
        <f t="shared" si="4"/>
        <v>0</v>
      </c>
      <c r="H41" s="153">
        <f t="shared" si="5"/>
        <v>0</v>
      </c>
      <c r="I41" s="153">
        <f t="shared" si="6"/>
        <v>0</v>
      </c>
      <c r="J41" s="153">
        <f t="shared" si="7"/>
        <v>0</v>
      </c>
      <c r="K41" s="153">
        <f t="shared" si="8"/>
        <v>0</v>
      </c>
      <c r="L41" s="153">
        <f t="shared" si="9"/>
        <v>0</v>
      </c>
      <c r="M41" s="158">
        <f t="shared" si="10"/>
        <v>0</v>
      </c>
    </row>
    <row r="42" spans="1:13" ht="15" customHeight="1" thickBot="1" x14ac:dyDescent="0.3">
      <c r="A42" s="17" t="s">
        <v>41</v>
      </c>
      <c r="B42" s="157">
        <v>0</v>
      </c>
      <c r="C42" s="154">
        <f t="shared" si="0"/>
        <v>0</v>
      </c>
      <c r="D42" s="153">
        <f t="shared" si="1"/>
        <v>0</v>
      </c>
      <c r="E42" s="153">
        <f t="shared" si="2"/>
        <v>0</v>
      </c>
      <c r="F42" s="153">
        <f t="shared" si="3"/>
        <v>0</v>
      </c>
      <c r="G42" s="153">
        <f t="shared" si="4"/>
        <v>0</v>
      </c>
      <c r="H42" s="153">
        <f t="shared" si="5"/>
        <v>0</v>
      </c>
      <c r="I42" s="153">
        <f t="shared" si="6"/>
        <v>0</v>
      </c>
      <c r="J42" s="153">
        <f t="shared" si="7"/>
        <v>0</v>
      </c>
      <c r="K42" s="153">
        <f t="shared" si="8"/>
        <v>0</v>
      </c>
      <c r="L42" s="153">
        <f t="shared" si="9"/>
        <v>0</v>
      </c>
      <c r="M42" s="158">
        <f t="shared" si="10"/>
        <v>0</v>
      </c>
    </row>
    <row r="43" spans="1:13" ht="15" customHeight="1" thickBot="1" x14ac:dyDescent="0.3">
      <c r="A43" s="17" t="s">
        <v>56</v>
      </c>
      <c r="B43" s="157">
        <v>0</v>
      </c>
      <c r="C43" s="154">
        <f t="shared" si="0"/>
        <v>0</v>
      </c>
      <c r="D43" s="153">
        <f t="shared" si="1"/>
        <v>0</v>
      </c>
      <c r="E43" s="153">
        <f t="shared" si="2"/>
        <v>0</v>
      </c>
      <c r="F43" s="153">
        <f t="shared" si="3"/>
        <v>0</v>
      </c>
      <c r="G43" s="153">
        <f t="shared" si="4"/>
        <v>0</v>
      </c>
      <c r="H43" s="153">
        <f t="shared" si="5"/>
        <v>0</v>
      </c>
      <c r="I43" s="153">
        <f t="shared" si="6"/>
        <v>0</v>
      </c>
      <c r="J43" s="153">
        <f t="shared" si="7"/>
        <v>0</v>
      </c>
      <c r="K43" s="153">
        <f t="shared" si="8"/>
        <v>0</v>
      </c>
      <c r="L43" s="153">
        <f t="shared" si="9"/>
        <v>0</v>
      </c>
      <c r="M43" s="158">
        <f t="shared" si="10"/>
        <v>0</v>
      </c>
    </row>
    <row r="44" spans="1:13" ht="15" customHeight="1" thickBot="1" x14ac:dyDescent="0.3">
      <c r="A44" s="17" t="s">
        <v>54</v>
      </c>
      <c r="B44" s="157">
        <v>0</v>
      </c>
      <c r="C44" s="154">
        <f t="shared" si="0"/>
        <v>0</v>
      </c>
      <c r="D44" s="153">
        <f t="shared" si="1"/>
        <v>0</v>
      </c>
      <c r="E44" s="153">
        <f t="shared" si="2"/>
        <v>0</v>
      </c>
      <c r="F44" s="153">
        <f t="shared" si="3"/>
        <v>0</v>
      </c>
      <c r="G44" s="153">
        <f t="shared" si="4"/>
        <v>0</v>
      </c>
      <c r="H44" s="153">
        <f t="shared" si="5"/>
        <v>0</v>
      </c>
      <c r="I44" s="153">
        <f t="shared" si="6"/>
        <v>0</v>
      </c>
      <c r="J44" s="153">
        <f t="shared" si="7"/>
        <v>0</v>
      </c>
      <c r="K44" s="153">
        <f t="shared" si="8"/>
        <v>0</v>
      </c>
      <c r="L44" s="153">
        <f t="shared" si="9"/>
        <v>0</v>
      </c>
      <c r="M44" s="158">
        <f t="shared" si="10"/>
        <v>0</v>
      </c>
    </row>
    <row r="45" spans="1:13" ht="15" customHeight="1" thickBot="1" x14ac:dyDescent="0.3">
      <c r="A45" s="17" t="s">
        <v>57</v>
      </c>
      <c r="B45" s="157">
        <v>0</v>
      </c>
      <c r="C45" s="154">
        <f t="shared" si="0"/>
        <v>0</v>
      </c>
      <c r="D45" s="153">
        <f t="shared" si="1"/>
        <v>0</v>
      </c>
      <c r="E45" s="153">
        <f t="shared" si="2"/>
        <v>0</v>
      </c>
      <c r="F45" s="153">
        <f t="shared" si="3"/>
        <v>0</v>
      </c>
      <c r="G45" s="153">
        <f t="shared" si="4"/>
        <v>0</v>
      </c>
      <c r="H45" s="153">
        <f t="shared" si="5"/>
        <v>0</v>
      </c>
      <c r="I45" s="153">
        <f t="shared" si="6"/>
        <v>0</v>
      </c>
      <c r="J45" s="153">
        <f t="shared" si="7"/>
        <v>0</v>
      </c>
      <c r="K45" s="153">
        <f t="shared" si="8"/>
        <v>0</v>
      </c>
      <c r="L45" s="153">
        <f t="shared" si="9"/>
        <v>0</v>
      </c>
      <c r="M45" s="158">
        <f t="shared" si="10"/>
        <v>0</v>
      </c>
    </row>
    <row r="46" spans="1:13" ht="15" customHeight="1" thickBot="1" x14ac:dyDescent="0.3">
      <c r="A46" s="17" t="s">
        <v>23</v>
      </c>
      <c r="B46" s="157">
        <v>0</v>
      </c>
      <c r="C46" s="154">
        <f t="shared" si="0"/>
        <v>0</v>
      </c>
      <c r="D46" s="153">
        <f t="shared" si="1"/>
        <v>0</v>
      </c>
      <c r="E46" s="153">
        <f t="shared" si="2"/>
        <v>0</v>
      </c>
      <c r="F46" s="153">
        <f t="shared" si="3"/>
        <v>0</v>
      </c>
      <c r="G46" s="153">
        <f t="shared" si="4"/>
        <v>0</v>
      </c>
      <c r="H46" s="153">
        <f t="shared" si="5"/>
        <v>0</v>
      </c>
      <c r="I46" s="153">
        <f t="shared" si="6"/>
        <v>0</v>
      </c>
      <c r="J46" s="153">
        <f t="shared" si="7"/>
        <v>0</v>
      </c>
      <c r="K46" s="153">
        <f t="shared" si="8"/>
        <v>0</v>
      </c>
      <c r="L46" s="153">
        <f t="shared" si="9"/>
        <v>0</v>
      </c>
      <c r="M46" s="158">
        <f t="shared" si="10"/>
        <v>0</v>
      </c>
    </row>
    <row r="47" spans="1:13" ht="15" customHeight="1" thickBot="1" x14ac:dyDescent="0.3">
      <c r="A47" s="17" t="s">
        <v>24</v>
      </c>
      <c r="B47" s="157">
        <v>0</v>
      </c>
      <c r="C47" s="154">
        <f t="shared" si="0"/>
        <v>0</v>
      </c>
      <c r="D47" s="153">
        <f t="shared" si="1"/>
        <v>0</v>
      </c>
      <c r="E47" s="153">
        <f t="shared" si="2"/>
        <v>0</v>
      </c>
      <c r="F47" s="153">
        <f t="shared" si="3"/>
        <v>0</v>
      </c>
      <c r="G47" s="153">
        <f t="shared" si="4"/>
        <v>0</v>
      </c>
      <c r="H47" s="153">
        <f t="shared" si="5"/>
        <v>0</v>
      </c>
      <c r="I47" s="153">
        <f t="shared" si="6"/>
        <v>0</v>
      </c>
      <c r="J47" s="153">
        <f t="shared" si="7"/>
        <v>0</v>
      </c>
      <c r="K47" s="153">
        <f t="shared" si="8"/>
        <v>0</v>
      </c>
      <c r="L47" s="153">
        <f t="shared" si="9"/>
        <v>0</v>
      </c>
      <c r="M47" s="158">
        <f t="shared" si="10"/>
        <v>0</v>
      </c>
    </row>
    <row r="48" spans="1:13" ht="15" customHeight="1" thickBot="1" x14ac:dyDescent="0.3">
      <c r="A48" s="17" t="s">
        <v>50</v>
      </c>
      <c r="B48" s="157">
        <v>0</v>
      </c>
      <c r="C48" s="154">
        <f t="shared" si="0"/>
        <v>0</v>
      </c>
      <c r="D48" s="153">
        <f t="shared" si="1"/>
        <v>0</v>
      </c>
      <c r="E48" s="153">
        <f t="shared" si="2"/>
        <v>0</v>
      </c>
      <c r="F48" s="153">
        <f t="shared" si="3"/>
        <v>0</v>
      </c>
      <c r="G48" s="153">
        <f t="shared" si="4"/>
        <v>0</v>
      </c>
      <c r="H48" s="153">
        <f t="shared" si="5"/>
        <v>0</v>
      </c>
      <c r="I48" s="153">
        <f t="shared" si="6"/>
        <v>0</v>
      </c>
      <c r="J48" s="153">
        <f t="shared" si="7"/>
        <v>0</v>
      </c>
      <c r="K48" s="153">
        <f t="shared" si="8"/>
        <v>0</v>
      </c>
      <c r="L48" s="153">
        <f t="shared" si="9"/>
        <v>0</v>
      </c>
      <c r="M48" s="158">
        <f t="shared" si="10"/>
        <v>0</v>
      </c>
    </row>
    <row r="49" spans="1:13" ht="15" customHeight="1" thickBot="1" x14ac:dyDescent="0.3">
      <c r="A49" s="17" t="s">
        <v>55</v>
      </c>
      <c r="B49" s="157">
        <v>0</v>
      </c>
      <c r="C49" s="154">
        <f t="shared" si="0"/>
        <v>0</v>
      </c>
      <c r="D49" s="153">
        <f t="shared" si="1"/>
        <v>0</v>
      </c>
      <c r="E49" s="153">
        <f t="shared" si="2"/>
        <v>0</v>
      </c>
      <c r="F49" s="153">
        <f t="shared" si="3"/>
        <v>0</v>
      </c>
      <c r="G49" s="153">
        <f t="shared" si="4"/>
        <v>0</v>
      </c>
      <c r="H49" s="153">
        <f t="shared" si="5"/>
        <v>0</v>
      </c>
      <c r="I49" s="153">
        <f t="shared" si="6"/>
        <v>0</v>
      </c>
      <c r="J49" s="153">
        <f t="shared" si="7"/>
        <v>0</v>
      </c>
      <c r="K49" s="153">
        <f t="shared" si="8"/>
        <v>0</v>
      </c>
      <c r="L49" s="153">
        <f t="shared" si="9"/>
        <v>0</v>
      </c>
      <c r="M49" s="158">
        <f t="shared" si="10"/>
        <v>0</v>
      </c>
    </row>
    <row r="50" spans="1:13" ht="15" customHeight="1" thickBot="1" x14ac:dyDescent="0.3">
      <c r="A50" s="17" t="s">
        <v>39</v>
      </c>
      <c r="B50" s="157">
        <v>0</v>
      </c>
      <c r="C50" s="154">
        <f t="shared" si="0"/>
        <v>0</v>
      </c>
      <c r="D50" s="153">
        <f t="shared" si="1"/>
        <v>0</v>
      </c>
      <c r="E50" s="153">
        <f t="shared" si="2"/>
        <v>0</v>
      </c>
      <c r="F50" s="153">
        <f t="shared" si="3"/>
        <v>0</v>
      </c>
      <c r="G50" s="153">
        <f t="shared" si="4"/>
        <v>0</v>
      </c>
      <c r="H50" s="153">
        <f t="shared" si="5"/>
        <v>0</v>
      </c>
      <c r="I50" s="153">
        <f t="shared" si="6"/>
        <v>0</v>
      </c>
      <c r="J50" s="153">
        <f t="shared" si="7"/>
        <v>0</v>
      </c>
      <c r="K50" s="153">
        <f t="shared" si="8"/>
        <v>0</v>
      </c>
      <c r="L50" s="153">
        <f t="shared" si="9"/>
        <v>0</v>
      </c>
      <c r="M50" s="158">
        <f t="shared" si="10"/>
        <v>0</v>
      </c>
    </row>
    <row r="51" spans="1:13" ht="15" customHeight="1" thickBot="1" x14ac:dyDescent="0.3">
      <c r="A51" s="17" t="s">
        <v>38</v>
      </c>
      <c r="B51" s="157">
        <v>0</v>
      </c>
      <c r="C51" s="154">
        <f t="shared" si="0"/>
        <v>0</v>
      </c>
      <c r="D51" s="153">
        <f t="shared" si="1"/>
        <v>0</v>
      </c>
      <c r="E51" s="153">
        <f t="shared" si="2"/>
        <v>0</v>
      </c>
      <c r="F51" s="153">
        <f t="shared" si="3"/>
        <v>0</v>
      </c>
      <c r="G51" s="153">
        <f t="shared" si="4"/>
        <v>0</v>
      </c>
      <c r="H51" s="153">
        <f t="shared" si="5"/>
        <v>0</v>
      </c>
      <c r="I51" s="153">
        <f t="shared" si="6"/>
        <v>0</v>
      </c>
      <c r="J51" s="153">
        <f t="shared" si="7"/>
        <v>0</v>
      </c>
      <c r="K51" s="153">
        <f t="shared" si="8"/>
        <v>0</v>
      </c>
      <c r="L51" s="153">
        <f t="shared" si="9"/>
        <v>0</v>
      </c>
      <c r="M51" s="158">
        <f t="shared" si="10"/>
        <v>0</v>
      </c>
    </row>
    <row r="52" spans="1:13" ht="13.8" thickBot="1" x14ac:dyDescent="0.3">
      <c r="A52" s="17" t="s">
        <v>49</v>
      </c>
      <c r="B52" s="157">
        <v>0</v>
      </c>
      <c r="C52" s="154">
        <f t="shared" si="0"/>
        <v>0</v>
      </c>
      <c r="D52" s="153">
        <f t="shared" si="1"/>
        <v>0</v>
      </c>
      <c r="E52" s="153">
        <f t="shared" si="2"/>
        <v>0</v>
      </c>
      <c r="F52" s="153">
        <f t="shared" si="3"/>
        <v>0</v>
      </c>
      <c r="G52" s="153">
        <f t="shared" si="4"/>
        <v>0</v>
      </c>
      <c r="H52" s="153">
        <f t="shared" si="5"/>
        <v>0</v>
      </c>
      <c r="I52" s="153">
        <f t="shared" si="6"/>
        <v>0</v>
      </c>
      <c r="J52" s="153">
        <f t="shared" si="7"/>
        <v>0</v>
      </c>
      <c r="K52" s="153">
        <f t="shared" si="8"/>
        <v>0</v>
      </c>
      <c r="L52" s="153">
        <f t="shared" si="9"/>
        <v>0</v>
      </c>
      <c r="M52" s="158">
        <f t="shared" si="10"/>
        <v>0</v>
      </c>
    </row>
    <row r="53" spans="1:13" ht="13.8" thickBot="1" x14ac:dyDescent="0.3">
      <c r="A53" s="17" t="s">
        <v>26</v>
      </c>
      <c r="B53" s="157">
        <v>0</v>
      </c>
      <c r="C53" s="154">
        <f t="shared" si="0"/>
        <v>0</v>
      </c>
      <c r="D53" s="153">
        <f t="shared" si="1"/>
        <v>0</v>
      </c>
      <c r="E53" s="153">
        <f t="shared" si="2"/>
        <v>0</v>
      </c>
      <c r="F53" s="153">
        <f t="shared" si="3"/>
        <v>0</v>
      </c>
      <c r="G53" s="153">
        <f t="shared" si="4"/>
        <v>0</v>
      </c>
      <c r="H53" s="153">
        <f t="shared" si="5"/>
        <v>0</v>
      </c>
      <c r="I53" s="153">
        <f t="shared" si="6"/>
        <v>0</v>
      </c>
      <c r="J53" s="153">
        <f t="shared" si="7"/>
        <v>0</v>
      </c>
      <c r="K53" s="153">
        <f t="shared" si="8"/>
        <v>0</v>
      </c>
      <c r="L53" s="153">
        <f t="shared" si="9"/>
        <v>0</v>
      </c>
      <c r="M53" s="158">
        <f t="shared" si="10"/>
        <v>0</v>
      </c>
    </row>
    <row r="54" spans="1:13" ht="13.8" thickBot="1" x14ac:dyDescent="0.3">
      <c r="A54" s="18" t="s">
        <v>20</v>
      </c>
      <c r="B54" s="157">
        <v>0</v>
      </c>
      <c r="C54" s="154">
        <f t="shared" si="0"/>
        <v>0</v>
      </c>
      <c r="D54" s="153">
        <f t="shared" si="1"/>
        <v>0</v>
      </c>
      <c r="E54" s="153">
        <f t="shared" si="2"/>
        <v>0</v>
      </c>
      <c r="F54" s="153">
        <f t="shared" si="3"/>
        <v>0</v>
      </c>
      <c r="G54" s="153">
        <f t="shared" si="4"/>
        <v>0</v>
      </c>
      <c r="H54" s="153">
        <f t="shared" si="5"/>
        <v>0</v>
      </c>
      <c r="I54" s="153">
        <f t="shared" si="6"/>
        <v>0</v>
      </c>
      <c r="J54" s="153">
        <f t="shared" si="7"/>
        <v>0</v>
      </c>
      <c r="K54" s="153">
        <f t="shared" si="8"/>
        <v>0</v>
      </c>
      <c r="L54" s="153">
        <f t="shared" si="9"/>
        <v>0</v>
      </c>
      <c r="M54" s="158">
        <f t="shared" si="10"/>
        <v>0</v>
      </c>
    </row>
    <row r="55" spans="1:13" ht="13.8" thickBot="1" x14ac:dyDescent="0.3">
      <c r="A55" s="159"/>
      <c r="B55" s="153">
        <v>0</v>
      </c>
      <c r="C55" s="154">
        <f t="shared" si="0"/>
        <v>0</v>
      </c>
      <c r="D55" s="154">
        <f t="shared" si="1"/>
        <v>0</v>
      </c>
      <c r="E55" s="154">
        <f t="shared" si="2"/>
        <v>0</v>
      </c>
      <c r="F55" s="154">
        <f t="shared" si="3"/>
        <v>0</v>
      </c>
      <c r="G55" s="154">
        <f t="shared" si="4"/>
        <v>0</v>
      </c>
      <c r="H55" s="154">
        <f t="shared" si="5"/>
        <v>0</v>
      </c>
      <c r="I55" s="154">
        <f t="shared" si="6"/>
        <v>0</v>
      </c>
      <c r="J55" s="154">
        <f t="shared" si="7"/>
        <v>0</v>
      </c>
      <c r="K55" s="154">
        <f t="shared" si="8"/>
        <v>0</v>
      </c>
      <c r="L55" s="154">
        <f t="shared" si="9"/>
        <v>0</v>
      </c>
      <c r="M55" s="158">
        <f t="shared" si="10"/>
        <v>0</v>
      </c>
    </row>
  </sheetData>
  <mergeCells count="5">
    <mergeCell ref="A1:M1"/>
    <mergeCell ref="A2:K2"/>
    <mergeCell ref="A4:K4"/>
    <mergeCell ref="A5:M5"/>
    <mergeCell ref="A3:K3"/>
  </mergeCells>
  <phoneticPr fontId="0" type="noConversion"/>
  <printOptions gridLines="1"/>
  <pageMargins left="0.75" right="0.75" top="0.66" bottom="1" header="0" footer="0"/>
  <pageSetup scale="69" orientation="portrait" horizontalDpi="4294967293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88"/>
  <sheetViews>
    <sheetView zoomScaleNormal="100" workbookViewId="0">
      <selection activeCell="F5" sqref="F5"/>
    </sheetView>
  </sheetViews>
  <sheetFormatPr baseColWidth="10" defaultRowHeight="13.2" x14ac:dyDescent="0.25"/>
  <cols>
    <col min="7" max="7" width="5.5546875" customWidth="1"/>
  </cols>
  <sheetData>
    <row r="1" spans="1:13" ht="23.4" x14ac:dyDescent="0.25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x14ac:dyDescent="0.25">
      <c r="A3" s="200" t="s">
        <v>562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x14ac:dyDescent="0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x14ac:dyDescent="0.25">
      <c r="A6" s="275" t="s">
        <v>431</v>
      </c>
      <c r="B6" s="275"/>
      <c r="C6" s="275"/>
      <c r="D6" s="275"/>
      <c r="E6" s="275"/>
      <c r="F6" s="275"/>
      <c r="G6" s="126"/>
      <c r="H6" s="275" t="s">
        <v>431</v>
      </c>
      <c r="I6" s="275"/>
      <c r="J6" s="275"/>
      <c r="K6" s="275"/>
      <c r="L6" s="275"/>
      <c r="M6" s="275"/>
    </row>
    <row r="7" spans="1:13" x14ac:dyDescent="0.25">
      <c r="A7" s="277" t="s">
        <v>467</v>
      </c>
      <c r="B7" s="278"/>
      <c r="C7" s="278"/>
      <c r="D7" s="278"/>
      <c r="E7" s="278"/>
      <c r="F7" s="279"/>
      <c r="G7" s="127"/>
      <c r="H7" s="277" t="s">
        <v>468</v>
      </c>
      <c r="I7" s="278"/>
      <c r="J7" s="278"/>
      <c r="K7" s="278"/>
      <c r="L7" s="278"/>
      <c r="M7" s="279"/>
    </row>
    <row r="8" spans="1:13" x14ac:dyDescent="0.25">
      <c r="A8" s="280" t="s">
        <v>469</v>
      </c>
      <c r="B8" s="281"/>
      <c r="C8" s="281"/>
      <c r="D8" s="281"/>
      <c r="E8" s="281"/>
      <c r="F8" s="282"/>
      <c r="G8" s="127"/>
      <c r="H8" s="280" t="s">
        <v>469</v>
      </c>
      <c r="I8" s="281"/>
      <c r="J8" s="281"/>
      <c r="K8" s="281"/>
      <c r="L8" s="281"/>
      <c r="M8" s="282"/>
    </row>
    <row r="9" spans="1:13" x14ac:dyDescent="0.25">
      <c r="A9" s="287" t="s">
        <v>355</v>
      </c>
      <c r="B9" s="288"/>
      <c r="C9" s="147" t="s">
        <v>292</v>
      </c>
      <c r="D9" s="128" t="s">
        <v>293</v>
      </c>
      <c r="E9" s="128" t="s">
        <v>294</v>
      </c>
      <c r="F9" s="128" t="s">
        <v>295</v>
      </c>
      <c r="G9" s="126"/>
      <c r="H9" s="287" t="s">
        <v>355</v>
      </c>
      <c r="I9" s="288"/>
      <c r="J9" s="147" t="s">
        <v>292</v>
      </c>
      <c r="K9" s="128" t="s">
        <v>293</v>
      </c>
      <c r="L9" s="128" t="s">
        <v>294</v>
      </c>
      <c r="M9" s="128" t="s">
        <v>295</v>
      </c>
    </row>
    <row r="10" spans="1:13" x14ac:dyDescent="0.25">
      <c r="A10" s="129" t="s">
        <v>435</v>
      </c>
      <c r="B10" s="130" t="s">
        <v>436</v>
      </c>
      <c r="C10" s="131" t="s">
        <v>300</v>
      </c>
      <c r="D10" s="130">
        <f>1*1.05</f>
        <v>1.05</v>
      </c>
      <c r="E10" s="132">
        <f>'Conc. resist. norm'!F20</f>
        <v>12.551680586080586</v>
      </c>
      <c r="F10" s="132">
        <f>D10*E10</f>
        <v>13.179264615384616</v>
      </c>
      <c r="G10" s="133"/>
      <c r="H10" s="129" t="s">
        <v>437</v>
      </c>
      <c r="I10" s="130" t="s">
        <v>436</v>
      </c>
      <c r="J10" s="131" t="s">
        <v>300</v>
      </c>
      <c r="K10" s="130">
        <f>1*1.05</f>
        <v>1.05</v>
      </c>
      <c r="L10" s="132">
        <f>'Conc. resist. norm'!M20</f>
        <v>12.551680586080586</v>
      </c>
      <c r="M10" s="132">
        <f>K10*L10</f>
        <v>13.179264615384616</v>
      </c>
    </row>
    <row r="11" spans="1:13" x14ac:dyDescent="0.25">
      <c r="A11" s="129" t="s">
        <v>287</v>
      </c>
      <c r="B11" s="130" t="s">
        <v>438</v>
      </c>
      <c r="C11" s="131" t="s">
        <v>300</v>
      </c>
      <c r="D11" s="130">
        <f>0.8*1.2</f>
        <v>0.96</v>
      </c>
      <c r="E11" s="132">
        <f>'Precios de Mat.'!$B$16</f>
        <v>0</v>
      </c>
      <c r="F11" s="132">
        <f>D11*E11</f>
        <v>0</v>
      </c>
      <c r="G11" s="133"/>
      <c r="H11" s="129" t="s">
        <v>287</v>
      </c>
      <c r="I11" s="130" t="s">
        <v>438</v>
      </c>
      <c r="J11" s="131" t="s">
        <v>300</v>
      </c>
      <c r="K11" s="130">
        <f>0.8*1.2</f>
        <v>0.96</v>
      </c>
      <c r="L11" s="132">
        <f>'Precios de Mat.'!$B$16</f>
        <v>0</v>
      </c>
      <c r="M11" s="132">
        <f>K11*L11</f>
        <v>0</v>
      </c>
    </row>
    <row r="12" spans="1:13" x14ac:dyDescent="0.25">
      <c r="A12" s="129"/>
      <c r="B12" s="134"/>
      <c r="C12" s="131"/>
      <c r="D12" s="135"/>
      <c r="E12" s="132"/>
      <c r="F12" s="132"/>
      <c r="G12" s="133"/>
      <c r="H12" s="129"/>
      <c r="I12" s="134"/>
      <c r="J12" s="131"/>
      <c r="K12" s="135"/>
      <c r="L12" s="132"/>
      <c r="M12" s="132"/>
    </row>
    <row r="13" spans="1:13" x14ac:dyDescent="0.25">
      <c r="A13" s="129"/>
      <c r="B13" s="136"/>
      <c r="C13" s="131"/>
      <c r="D13" s="137"/>
      <c r="E13" s="148"/>
      <c r="F13" s="148"/>
      <c r="G13" s="133"/>
      <c r="H13" s="129"/>
      <c r="I13" s="136"/>
      <c r="J13" s="131"/>
      <c r="K13" s="137"/>
      <c r="L13" s="148"/>
      <c r="M13" s="148"/>
    </row>
    <row r="14" spans="1:13" x14ac:dyDescent="0.25">
      <c r="A14" s="270" t="s">
        <v>305</v>
      </c>
      <c r="B14" s="271"/>
      <c r="C14" s="271"/>
      <c r="D14" s="271"/>
      <c r="E14" s="272"/>
      <c r="F14" s="132">
        <f>F10+F11</f>
        <v>13.179264615384616</v>
      </c>
      <c r="G14" s="133"/>
      <c r="H14" s="270" t="s">
        <v>305</v>
      </c>
      <c r="I14" s="271"/>
      <c r="J14" s="271"/>
      <c r="K14" s="271"/>
      <c r="L14" s="272"/>
      <c r="M14" s="132">
        <f>M10+M11</f>
        <v>13.179264615384616</v>
      </c>
    </row>
    <row r="15" spans="1:13" x14ac:dyDescent="0.25">
      <c r="A15" s="283" t="s">
        <v>306</v>
      </c>
      <c r="B15" s="284"/>
      <c r="C15" s="284"/>
      <c r="D15" s="284"/>
      <c r="E15" s="284"/>
      <c r="F15" s="285"/>
      <c r="G15" s="133"/>
      <c r="H15" s="283" t="s">
        <v>306</v>
      </c>
      <c r="I15" s="284"/>
      <c r="J15" s="284"/>
      <c r="K15" s="284"/>
      <c r="L15" s="284"/>
      <c r="M15" s="285"/>
    </row>
    <row r="16" spans="1:13" x14ac:dyDescent="0.25">
      <c r="A16" s="129" t="s">
        <v>470</v>
      </c>
      <c r="B16" s="130"/>
      <c r="C16" s="131" t="s">
        <v>69</v>
      </c>
      <c r="D16" s="149">
        <v>0.2</v>
      </c>
      <c r="E16" s="132">
        <f>Cuadrillas!$K$355</f>
        <v>0</v>
      </c>
      <c r="F16" s="132">
        <f>D16*E16</f>
        <v>0</v>
      </c>
      <c r="G16" s="133"/>
      <c r="H16" s="129" t="s">
        <v>470</v>
      </c>
      <c r="I16" s="130"/>
      <c r="J16" s="131" t="s">
        <v>69</v>
      </c>
      <c r="K16" s="149">
        <v>0.2</v>
      </c>
      <c r="L16" s="132">
        <f>Cuadrillas!$K$355</f>
        <v>0</v>
      </c>
      <c r="M16" s="132">
        <f>K16*L16</f>
        <v>0</v>
      </c>
    </row>
    <row r="17" spans="1:13" x14ac:dyDescent="0.25">
      <c r="A17" s="266" t="s">
        <v>455</v>
      </c>
      <c r="B17" s="267"/>
      <c r="C17" s="131" t="s">
        <v>69</v>
      </c>
      <c r="D17" s="149">
        <f>0.0235*10</f>
        <v>0.23499999999999999</v>
      </c>
      <c r="E17" s="132">
        <f>Cuadrillas!$E$18</f>
        <v>0</v>
      </c>
      <c r="F17" s="132">
        <f>D17*E17</f>
        <v>0</v>
      </c>
      <c r="G17" s="133"/>
      <c r="H17" s="266" t="s">
        <v>455</v>
      </c>
      <c r="I17" s="267"/>
      <c r="J17" s="131" t="s">
        <v>69</v>
      </c>
      <c r="K17" s="149">
        <f>0.0235*10</f>
        <v>0.23499999999999999</v>
      </c>
      <c r="L17" s="132">
        <f>Cuadrillas!$E$18</f>
        <v>0</v>
      </c>
      <c r="M17" s="132">
        <f>K17*L17</f>
        <v>0</v>
      </c>
    </row>
    <row r="18" spans="1:13" x14ac:dyDescent="0.25">
      <c r="A18" s="138" t="s">
        <v>471</v>
      </c>
      <c r="B18" s="130"/>
      <c r="C18" s="130" t="s">
        <v>369</v>
      </c>
      <c r="D18" s="149">
        <v>0.8</v>
      </c>
      <c r="E18" s="132">
        <f>Equipo!$I$114</f>
        <v>20.931172881355934</v>
      </c>
      <c r="F18" s="132">
        <f>D18*E18</f>
        <v>16.744938305084748</v>
      </c>
      <c r="G18" s="139"/>
      <c r="H18" s="138" t="s">
        <v>471</v>
      </c>
      <c r="I18" s="130"/>
      <c r="J18" s="130" t="s">
        <v>369</v>
      </c>
      <c r="K18" s="149">
        <v>0.8</v>
      </c>
      <c r="L18" s="132">
        <f>Equipo!$I$114</f>
        <v>20.931172881355934</v>
      </c>
      <c r="M18" s="132">
        <f>K18*L18</f>
        <v>16.744938305084748</v>
      </c>
    </row>
    <row r="19" spans="1:13" x14ac:dyDescent="0.25">
      <c r="A19" s="270" t="s">
        <v>305</v>
      </c>
      <c r="B19" s="271"/>
      <c r="C19" s="271"/>
      <c r="D19" s="271"/>
      <c r="E19" s="272"/>
      <c r="F19" s="132">
        <f>F16+F17+F18</f>
        <v>16.744938305084748</v>
      </c>
      <c r="G19" s="139"/>
      <c r="H19" s="270" t="s">
        <v>305</v>
      </c>
      <c r="I19" s="271"/>
      <c r="J19" s="271"/>
      <c r="K19" s="271"/>
      <c r="L19" s="272"/>
      <c r="M19" s="132">
        <f>M16+M17+M18</f>
        <v>16.744938305084748</v>
      </c>
    </row>
    <row r="20" spans="1:13" x14ac:dyDescent="0.25">
      <c r="A20" s="270" t="s">
        <v>307</v>
      </c>
      <c r="B20" s="271"/>
      <c r="C20" s="271"/>
      <c r="D20" s="271"/>
      <c r="E20" s="272"/>
      <c r="F20" s="132">
        <f>F14+F19</f>
        <v>29.924202920469362</v>
      </c>
      <c r="G20" s="133"/>
      <c r="H20" s="270" t="s">
        <v>307</v>
      </c>
      <c r="I20" s="271"/>
      <c r="J20" s="271"/>
      <c r="K20" s="271"/>
      <c r="L20" s="272"/>
      <c r="M20" s="132">
        <f>M14+M19</f>
        <v>29.924202920469362</v>
      </c>
    </row>
    <row r="21" spans="1:13" x14ac:dyDescent="0.25">
      <c r="A21" s="133"/>
      <c r="B21" s="133"/>
      <c r="C21" s="140"/>
      <c r="D21" s="140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x14ac:dyDescent="0.25">
      <c r="A22" s="133"/>
      <c r="B22" s="133"/>
      <c r="C22" s="140"/>
      <c r="D22" s="140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x14ac:dyDescent="0.25">
      <c r="A23" s="275" t="s">
        <v>431</v>
      </c>
      <c r="B23" s="275"/>
      <c r="C23" s="275"/>
      <c r="D23" s="275"/>
      <c r="E23" s="275"/>
      <c r="F23" s="275"/>
      <c r="G23" s="133"/>
      <c r="H23" s="275" t="s">
        <v>431</v>
      </c>
      <c r="I23" s="275"/>
      <c r="J23" s="275"/>
      <c r="K23" s="275"/>
      <c r="L23" s="275"/>
      <c r="M23" s="275"/>
    </row>
    <row r="24" spans="1:13" x14ac:dyDescent="0.25">
      <c r="A24" s="277" t="s">
        <v>472</v>
      </c>
      <c r="B24" s="278"/>
      <c r="C24" s="278"/>
      <c r="D24" s="278"/>
      <c r="E24" s="278"/>
      <c r="F24" s="279"/>
      <c r="G24" s="140"/>
      <c r="H24" s="277" t="s">
        <v>473</v>
      </c>
      <c r="I24" s="278"/>
      <c r="J24" s="278"/>
      <c r="K24" s="278"/>
      <c r="L24" s="278"/>
      <c r="M24" s="279"/>
    </row>
    <row r="25" spans="1:13" x14ac:dyDescent="0.25">
      <c r="A25" s="280" t="s">
        <v>469</v>
      </c>
      <c r="B25" s="281"/>
      <c r="C25" s="281"/>
      <c r="D25" s="281"/>
      <c r="E25" s="281"/>
      <c r="F25" s="282"/>
      <c r="G25" s="140"/>
      <c r="H25" s="280" t="s">
        <v>469</v>
      </c>
      <c r="I25" s="281"/>
      <c r="J25" s="281"/>
      <c r="K25" s="281"/>
      <c r="L25" s="281"/>
      <c r="M25" s="282"/>
    </row>
    <row r="26" spans="1:13" x14ac:dyDescent="0.25">
      <c r="A26" s="287" t="s">
        <v>355</v>
      </c>
      <c r="B26" s="288"/>
      <c r="C26" s="147" t="s">
        <v>292</v>
      </c>
      <c r="D26" s="128" t="s">
        <v>293</v>
      </c>
      <c r="E26" s="128" t="s">
        <v>294</v>
      </c>
      <c r="F26" s="128" t="s">
        <v>295</v>
      </c>
      <c r="G26" s="133"/>
      <c r="H26" s="287" t="s">
        <v>355</v>
      </c>
      <c r="I26" s="288"/>
      <c r="J26" s="147" t="s">
        <v>292</v>
      </c>
      <c r="K26" s="128" t="s">
        <v>293</v>
      </c>
      <c r="L26" s="128" t="s">
        <v>294</v>
      </c>
      <c r="M26" s="128" t="s">
        <v>295</v>
      </c>
    </row>
    <row r="27" spans="1:13" x14ac:dyDescent="0.25">
      <c r="A27" s="129" t="s">
        <v>442</v>
      </c>
      <c r="B27" s="130" t="s">
        <v>436</v>
      </c>
      <c r="C27" s="131" t="s">
        <v>300</v>
      </c>
      <c r="D27" s="130">
        <f>1*1.05</f>
        <v>1.05</v>
      </c>
      <c r="E27" s="132">
        <f>'Conc. resist. norm'!F37</f>
        <v>12.551680586080586</v>
      </c>
      <c r="F27" s="132">
        <f>D27*E27</f>
        <v>13.179264615384616</v>
      </c>
      <c r="G27" s="133"/>
      <c r="H27" s="129" t="s">
        <v>443</v>
      </c>
      <c r="I27" s="130" t="s">
        <v>436</v>
      </c>
      <c r="J27" s="131" t="s">
        <v>300</v>
      </c>
      <c r="K27" s="130">
        <f>1*1.05</f>
        <v>1.05</v>
      </c>
      <c r="L27" s="132">
        <f>'Conc. resist. norm'!M37</f>
        <v>12.551680586080586</v>
      </c>
      <c r="M27" s="132">
        <f>K27*L27</f>
        <v>13.179264615384616</v>
      </c>
    </row>
    <row r="28" spans="1:13" x14ac:dyDescent="0.25">
      <c r="A28" s="129" t="s">
        <v>287</v>
      </c>
      <c r="B28" s="130" t="s">
        <v>438</v>
      </c>
      <c r="C28" s="131" t="s">
        <v>300</v>
      </c>
      <c r="D28" s="130">
        <f>0.8*1.2</f>
        <v>0.96</v>
      </c>
      <c r="E28" s="132">
        <f>'Precios de Mat.'!$B$16</f>
        <v>0</v>
      </c>
      <c r="F28" s="132">
        <f>D28*E28</f>
        <v>0</v>
      </c>
      <c r="G28" s="133"/>
      <c r="H28" s="129" t="s">
        <v>287</v>
      </c>
      <c r="I28" s="130" t="s">
        <v>438</v>
      </c>
      <c r="J28" s="131" t="s">
        <v>300</v>
      </c>
      <c r="K28" s="130">
        <f>0.8*1.2</f>
        <v>0.96</v>
      </c>
      <c r="L28" s="132">
        <f>'Precios de Mat.'!$B$16</f>
        <v>0</v>
      </c>
      <c r="M28" s="132">
        <f>K28*L28</f>
        <v>0</v>
      </c>
    </row>
    <row r="29" spans="1:13" x14ac:dyDescent="0.25">
      <c r="A29" s="129"/>
      <c r="B29" s="134"/>
      <c r="C29" s="131"/>
      <c r="D29" s="135"/>
      <c r="E29" s="132"/>
      <c r="F29" s="132"/>
      <c r="G29" s="133"/>
      <c r="H29" s="129"/>
      <c r="I29" s="134"/>
      <c r="J29" s="131"/>
      <c r="K29" s="135"/>
      <c r="L29" s="132"/>
      <c r="M29" s="132"/>
    </row>
    <row r="30" spans="1:13" x14ac:dyDescent="0.25">
      <c r="A30" s="129"/>
      <c r="B30" s="136"/>
      <c r="C30" s="131"/>
      <c r="D30" s="137"/>
      <c r="E30" s="148"/>
      <c r="F30" s="148"/>
      <c r="G30" s="133"/>
      <c r="H30" s="129"/>
      <c r="I30" s="136"/>
      <c r="J30" s="131"/>
      <c r="K30" s="137"/>
      <c r="L30" s="148"/>
      <c r="M30" s="148"/>
    </row>
    <row r="31" spans="1:13" x14ac:dyDescent="0.25">
      <c r="A31" s="270" t="s">
        <v>305</v>
      </c>
      <c r="B31" s="271"/>
      <c r="C31" s="271"/>
      <c r="D31" s="271"/>
      <c r="E31" s="272"/>
      <c r="F31" s="132">
        <f>F27+F28</f>
        <v>13.179264615384616</v>
      </c>
      <c r="G31" s="133"/>
      <c r="H31" s="270" t="s">
        <v>305</v>
      </c>
      <c r="I31" s="271"/>
      <c r="J31" s="271"/>
      <c r="K31" s="271"/>
      <c r="L31" s="272"/>
      <c r="M31" s="132">
        <f>M27+M28</f>
        <v>13.179264615384616</v>
      </c>
    </row>
    <row r="32" spans="1:13" x14ac:dyDescent="0.25">
      <c r="A32" s="283" t="s">
        <v>306</v>
      </c>
      <c r="B32" s="284"/>
      <c r="C32" s="284"/>
      <c r="D32" s="284"/>
      <c r="E32" s="284"/>
      <c r="F32" s="285"/>
      <c r="G32" s="133"/>
      <c r="H32" s="283" t="s">
        <v>306</v>
      </c>
      <c r="I32" s="284"/>
      <c r="J32" s="284"/>
      <c r="K32" s="284"/>
      <c r="L32" s="284"/>
      <c r="M32" s="285"/>
    </row>
    <row r="33" spans="1:13" x14ac:dyDescent="0.25">
      <c r="A33" s="129" t="s">
        <v>470</v>
      </c>
      <c r="B33" s="130"/>
      <c r="C33" s="131" t="s">
        <v>69</v>
      </c>
      <c r="D33" s="149">
        <v>0.2</v>
      </c>
      <c r="E33" s="132">
        <f>Cuadrillas!$K$355</f>
        <v>0</v>
      </c>
      <c r="F33" s="132">
        <f>D33*E33</f>
        <v>0</v>
      </c>
      <c r="G33" s="133"/>
      <c r="H33" s="129" t="s">
        <v>470</v>
      </c>
      <c r="I33" s="130"/>
      <c r="J33" s="131" t="s">
        <v>69</v>
      </c>
      <c r="K33" s="149">
        <v>0.2</v>
      </c>
      <c r="L33" s="132">
        <f>Cuadrillas!$K$355</f>
        <v>0</v>
      </c>
      <c r="M33" s="132">
        <f>K33*L33</f>
        <v>0</v>
      </c>
    </row>
    <row r="34" spans="1:13" x14ac:dyDescent="0.25">
      <c r="A34" s="266" t="s">
        <v>455</v>
      </c>
      <c r="B34" s="267"/>
      <c r="C34" s="131" t="s">
        <v>69</v>
      </c>
      <c r="D34" s="149">
        <f>0.0235*10</f>
        <v>0.23499999999999999</v>
      </c>
      <c r="E34" s="132">
        <f>Cuadrillas!$E$18</f>
        <v>0</v>
      </c>
      <c r="F34" s="132">
        <f>D34*E34</f>
        <v>0</v>
      </c>
      <c r="G34" s="133"/>
      <c r="H34" s="266" t="s">
        <v>455</v>
      </c>
      <c r="I34" s="267"/>
      <c r="J34" s="131" t="s">
        <v>69</v>
      </c>
      <c r="K34" s="149">
        <f>0.0235*10</f>
        <v>0.23499999999999999</v>
      </c>
      <c r="L34" s="132">
        <f>Cuadrillas!$E$18</f>
        <v>0</v>
      </c>
      <c r="M34" s="132">
        <f>K34*L34</f>
        <v>0</v>
      </c>
    </row>
    <row r="35" spans="1:13" x14ac:dyDescent="0.25">
      <c r="A35" s="138" t="s">
        <v>471</v>
      </c>
      <c r="B35" s="130"/>
      <c r="C35" s="130" t="s">
        <v>369</v>
      </c>
      <c r="D35" s="149">
        <v>0.8</v>
      </c>
      <c r="E35" s="132">
        <f>Equipo!$I$114</f>
        <v>20.931172881355934</v>
      </c>
      <c r="F35" s="132">
        <f>D35*E35</f>
        <v>16.744938305084748</v>
      </c>
      <c r="G35" s="139"/>
      <c r="H35" s="138" t="s">
        <v>471</v>
      </c>
      <c r="I35" s="130"/>
      <c r="J35" s="130" t="s">
        <v>369</v>
      </c>
      <c r="K35" s="149">
        <v>0.8</v>
      </c>
      <c r="L35" s="132">
        <f>Equipo!$I$114</f>
        <v>20.931172881355934</v>
      </c>
      <c r="M35" s="132">
        <f>K35*L35</f>
        <v>16.744938305084748</v>
      </c>
    </row>
    <row r="36" spans="1:13" x14ac:dyDescent="0.25">
      <c r="A36" s="270" t="s">
        <v>305</v>
      </c>
      <c r="B36" s="271"/>
      <c r="C36" s="271"/>
      <c r="D36" s="271"/>
      <c r="E36" s="272"/>
      <c r="F36" s="132">
        <f>F33+F34+F35</f>
        <v>16.744938305084748</v>
      </c>
      <c r="G36" s="139"/>
      <c r="H36" s="270" t="s">
        <v>305</v>
      </c>
      <c r="I36" s="271"/>
      <c r="J36" s="271"/>
      <c r="K36" s="271"/>
      <c r="L36" s="272"/>
      <c r="M36" s="132">
        <f>M33+M34+M35</f>
        <v>16.744938305084748</v>
      </c>
    </row>
    <row r="37" spans="1:13" x14ac:dyDescent="0.25">
      <c r="A37" s="270" t="s">
        <v>307</v>
      </c>
      <c r="B37" s="271"/>
      <c r="C37" s="271"/>
      <c r="D37" s="271"/>
      <c r="E37" s="272"/>
      <c r="F37" s="132">
        <f>F31+F36</f>
        <v>29.924202920469362</v>
      </c>
      <c r="G37" s="133"/>
      <c r="H37" s="270" t="s">
        <v>307</v>
      </c>
      <c r="I37" s="271"/>
      <c r="J37" s="271"/>
      <c r="K37" s="271"/>
      <c r="L37" s="272"/>
      <c r="M37" s="132">
        <f>M31+M36</f>
        <v>29.924202920469362</v>
      </c>
    </row>
    <row r="38" spans="1:13" x14ac:dyDescent="0.25">
      <c r="A38" s="133"/>
      <c r="B38" s="133"/>
      <c r="C38" s="133"/>
      <c r="D38" s="133"/>
      <c r="E38" s="133"/>
      <c r="F38" s="133"/>
      <c r="G38" s="141"/>
      <c r="H38" s="133"/>
      <c r="I38" s="133"/>
      <c r="J38" s="133"/>
      <c r="K38" s="133"/>
      <c r="L38" s="133"/>
      <c r="M38" s="133"/>
    </row>
    <row r="39" spans="1:13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1:13" x14ac:dyDescent="0.25">
      <c r="A40" s="275" t="s">
        <v>431</v>
      </c>
      <c r="B40" s="275"/>
      <c r="C40" s="275"/>
      <c r="D40" s="275"/>
      <c r="E40" s="275"/>
      <c r="F40" s="275"/>
      <c r="G40" s="141"/>
      <c r="H40" s="275" t="s">
        <v>431</v>
      </c>
      <c r="I40" s="275"/>
      <c r="J40" s="275"/>
      <c r="K40" s="275"/>
      <c r="L40" s="275"/>
      <c r="M40" s="275"/>
    </row>
    <row r="41" spans="1:13" x14ac:dyDescent="0.25">
      <c r="A41" s="277" t="s">
        <v>474</v>
      </c>
      <c r="B41" s="278"/>
      <c r="C41" s="278"/>
      <c r="D41" s="278"/>
      <c r="E41" s="278"/>
      <c r="F41" s="279"/>
      <c r="G41" s="140"/>
      <c r="H41" s="277" t="s">
        <v>475</v>
      </c>
      <c r="I41" s="278"/>
      <c r="J41" s="278"/>
      <c r="K41" s="278"/>
      <c r="L41" s="278"/>
      <c r="M41" s="279"/>
    </row>
    <row r="42" spans="1:13" x14ac:dyDescent="0.25">
      <c r="A42" s="280" t="s">
        <v>469</v>
      </c>
      <c r="B42" s="281"/>
      <c r="C42" s="281"/>
      <c r="D42" s="281"/>
      <c r="E42" s="281"/>
      <c r="F42" s="282"/>
      <c r="G42" s="140"/>
      <c r="H42" s="280" t="s">
        <v>469</v>
      </c>
      <c r="I42" s="281"/>
      <c r="J42" s="281"/>
      <c r="K42" s="281"/>
      <c r="L42" s="281"/>
      <c r="M42" s="282"/>
    </row>
    <row r="43" spans="1:13" x14ac:dyDescent="0.25">
      <c r="A43" s="287" t="s">
        <v>355</v>
      </c>
      <c r="B43" s="288"/>
      <c r="C43" s="147" t="s">
        <v>292</v>
      </c>
      <c r="D43" s="128" t="s">
        <v>293</v>
      </c>
      <c r="E43" s="128" t="s">
        <v>294</v>
      </c>
      <c r="F43" s="128" t="s">
        <v>295</v>
      </c>
      <c r="G43" s="133"/>
      <c r="H43" s="287" t="s">
        <v>355</v>
      </c>
      <c r="I43" s="288"/>
      <c r="J43" s="147" t="s">
        <v>292</v>
      </c>
      <c r="K43" s="128" t="s">
        <v>293</v>
      </c>
      <c r="L43" s="128" t="s">
        <v>294</v>
      </c>
      <c r="M43" s="128" t="s">
        <v>295</v>
      </c>
    </row>
    <row r="44" spans="1:13" x14ac:dyDescent="0.25">
      <c r="A44" s="129" t="s">
        <v>446</v>
      </c>
      <c r="B44" s="130" t="s">
        <v>436</v>
      </c>
      <c r="C44" s="131" t="s">
        <v>300</v>
      </c>
      <c r="D44" s="130">
        <f>1*1.05</f>
        <v>1.05</v>
      </c>
      <c r="E44" s="132">
        <f>'Conc. resist. norm'!F54</f>
        <v>12.551680586080586</v>
      </c>
      <c r="F44" s="132">
        <f>D44*E44</f>
        <v>13.179264615384616</v>
      </c>
      <c r="G44" s="133"/>
      <c r="H44" s="129" t="s">
        <v>447</v>
      </c>
      <c r="I44" s="130" t="s">
        <v>436</v>
      </c>
      <c r="J44" s="131" t="s">
        <v>300</v>
      </c>
      <c r="K44" s="130">
        <f>1*1.05</f>
        <v>1.05</v>
      </c>
      <c r="L44" s="132">
        <f>'Conc. resist. norm'!M54</f>
        <v>12.551680586080586</v>
      </c>
      <c r="M44" s="132">
        <f>K44*L44</f>
        <v>13.179264615384616</v>
      </c>
    </row>
    <row r="45" spans="1:13" x14ac:dyDescent="0.25">
      <c r="A45" s="129" t="s">
        <v>287</v>
      </c>
      <c r="B45" s="130" t="s">
        <v>438</v>
      </c>
      <c r="C45" s="131" t="s">
        <v>300</v>
      </c>
      <c r="D45" s="130">
        <f>0.8*1.2</f>
        <v>0.96</v>
      </c>
      <c r="E45" s="132">
        <f>'Precios de Mat.'!$B$16</f>
        <v>0</v>
      </c>
      <c r="F45" s="132">
        <f>D45*E45</f>
        <v>0</v>
      </c>
      <c r="G45" s="133"/>
      <c r="H45" s="129" t="s">
        <v>287</v>
      </c>
      <c r="I45" s="130" t="s">
        <v>438</v>
      </c>
      <c r="J45" s="131" t="s">
        <v>300</v>
      </c>
      <c r="K45" s="130">
        <f>0.8*1.2</f>
        <v>0.96</v>
      </c>
      <c r="L45" s="132">
        <f>'Precios de Mat.'!$B$16</f>
        <v>0</v>
      </c>
      <c r="M45" s="132">
        <f>K45*L45</f>
        <v>0</v>
      </c>
    </row>
    <row r="46" spans="1:13" x14ac:dyDescent="0.25">
      <c r="A46" s="129"/>
      <c r="B46" s="134"/>
      <c r="C46" s="131"/>
      <c r="D46" s="135"/>
      <c r="E46" s="132"/>
      <c r="F46" s="132"/>
      <c r="G46" s="133"/>
      <c r="H46" s="129"/>
      <c r="I46" s="134"/>
      <c r="J46" s="131"/>
      <c r="K46" s="135"/>
      <c r="L46" s="132"/>
      <c r="M46" s="132"/>
    </row>
    <row r="47" spans="1:13" x14ac:dyDescent="0.25">
      <c r="A47" s="129"/>
      <c r="B47" s="136"/>
      <c r="C47" s="131"/>
      <c r="D47" s="137"/>
      <c r="E47" s="148"/>
      <c r="F47" s="148"/>
      <c r="G47" s="133"/>
      <c r="H47" s="129"/>
      <c r="I47" s="136"/>
      <c r="J47" s="131"/>
      <c r="K47" s="137"/>
      <c r="L47" s="148"/>
      <c r="M47" s="148"/>
    </row>
    <row r="48" spans="1:13" x14ac:dyDescent="0.25">
      <c r="A48" s="270" t="s">
        <v>305</v>
      </c>
      <c r="B48" s="271"/>
      <c r="C48" s="271"/>
      <c r="D48" s="271"/>
      <c r="E48" s="272"/>
      <c r="F48" s="132">
        <f>F44+F45</f>
        <v>13.179264615384616</v>
      </c>
      <c r="G48" s="133"/>
      <c r="H48" s="270" t="s">
        <v>305</v>
      </c>
      <c r="I48" s="271"/>
      <c r="J48" s="271"/>
      <c r="K48" s="271"/>
      <c r="L48" s="272"/>
      <c r="M48" s="132">
        <f>M44+M45</f>
        <v>13.179264615384616</v>
      </c>
    </row>
    <row r="49" spans="1:13" x14ac:dyDescent="0.25">
      <c r="A49" s="283" t="s">
        <v>306</v>
      </c>
      <c r="B49" s="284"/>
      <c r="C49" s="284"/>
      <c r="D49" s="284"/>
      <c r="E49" s="284"/>
      <c r="F49" s="285"/>
      <c r="G49" s="133"/>
      <c r="H49" s="283" t="s">
        <v>306</v>
      </c>
      <c r="I49" s="284"/>
      <c r="J49" s="284"/>
      <c r="K49" s="284"/>
      <c r="L49" s="284"/>
      <c r="M49" s="285"/>
    </row>
    <row r="50" spans="1:13" x14ac:dyDescent="0.25">
      <c r="A50" s="129" t="s">
        <v>470</v>
      </c>
      <c r="B50" s="130"/>
      <c r="C50" s="131" t="s">
        <v>69</v>
      </c>
      <c r="D50" s="149">
        <v>0.2</v>
      </c>
      <c r="E50" s="132">
        <f>Cuadrillas!$K$355</f>
        <v>0</v>
      </c>
      <c r="F50" s="132">
        <f>D50*E50</f>
        <v>0</v>
      </c>
      <c r="G50" s="133"/>
      <c r="H50" s="129" t="s">
        <v>470</v>
      </c>
      <c r="I50" s="130"/>
      <c r="J50" s="131" t="s">
        <v>69</v>
      </c>
      <c r="K50" s="149">
        <v>0.2</v>
      </c>
      <c r="L50" s="132">
        <f>Cuadrillas!$K$355</f>
        <v>0</v>
      </c>
      <c r="M50" s="132">
        <f>K50*L50</f>
        <v>0</v>
      </c>
    </row>
    <row r="51" spans="1:13" x14ac:dyDescent="0.25">
      <c r="A51" s="266" t="s">
        <v>455</v>
      </c>
      <c r="B51" s="267"/>
      <c r="C51" s="131" t="s">
        <v>69</v>
      </c>
      <c r="D51" s="149">
        <f>0.0235*10</f>
        <v>0.23499999999999999</v>
      </c>
      <c r="E51" s="132">
        <f>Cuadrillas!$E$18</f>
        <v>0</v>
      </c>
      <c r="F51" s="132">
        <f>D51*E51</f>
        <v>0</v>
      </c>
      <c r="G51" s="133"/>
      <c r="H51" s="266" t="s">
        <v>455</v>
      </c>
      <c r="I51" s="267"/>
      <c r="J51" s="131" t="s">
        <v>69</v>
      </c>
      <c r="K51" s="149">
        <f>0.0235*10</f>
        <v>0.23499999999999999</v>
      </c>
      <c r="L51" s="132">
        <f>Cuadrillas!$E$18</f>
        <v>0</v>
      </c>
      <c r="M51" s="132">
        <f>K51*L51</f>
        <v>0</v>
      </c>
    </row>
    <row r="52" spans="1:13" x14ac:dyDescent="0.25">
      <c r="A52" s="138" t="s">
        <v>471</v>
      </c>
      <c r="B52" s="130"/>
      <c r="C52" s="130" t="s">
        <v>369</v>
      </c>
      <c r="D52" s="149">
        <v>0.8</v>
      </c>
      <c r="E52" s="132">
        <f>Equipo!$I$114</f>
        <v>20.931172881355934</v>
      </c>
      <c r="F52" s="132">
        <f>D52*E52</f>
        <v>16.744938305084748</v>
      </c>
      <c r="G52" s="139"/>
      <c r="H52" s="138" t="s">
        <v>471</v>
      </c>
      <c r="I52" s="130"/>
      <c r="J52" s="130" t="s">
        <v>369</v>
      </c>
      <c r="K52" s="149">
        <v>0.8</v>
      </c>
      <c r="L52" s="132">
        <f>Equipo!$I$114</f>
        <v>20.931172881355934</v>
      </c>
      <c r="M52" s="132">
        <f>K52*L52</f>
        <v>16.744938305084748</v>
      </c>
    </row>
    <row r="53" spans="1:13" x14ac:dyDescent="0.25">
      <c r="A53" s="270" t="s">
        <v>305</v>
      </c>
      <c r="B53" s="271"/>
      <c r="C53" s="271"/>
      <c r="D53" s="271"/>
      <c r="E53" s="272"/>
      <c r="F53" s="132">
        <f>F50+F51+F52</f>
        <v>16.744938305084748</v>
      </c>
      <c r="G53" s="139"/>
      <c r="H53" s="270" t="s">
        <v>305</v>
      </c>
      <c r="I53" s="271"/>
      <c r="J53" s="271"/>
      <c r="K53" s="271"/>
      <c r="L53" s="272"/>
      <c r="M53" s="132">
        <f>M50+M51+M52</f>
        <v>16.744938305084748</v>
      </c>
    </row>
    <row r="54" spans="1:13" x14ac:dyDescent="0.25">
      <c r="A54" s="270" t="s">
        <v>307</v>
      </c>
      <c r="B54" s="271"/>
      <c r="C54" s="271"/>
      <c r="D54" s="271"/>
      <c r="E54" s="272"/>
      <c r="F54" s="132">
        <f>F48+F53</f>
        <v>29.924202920469362</v>
      </c>
      <c r="G54" s="133"/>
      <c r="H54" s="270" t="s">
        <v>307</v>
      </c>
      <c r="I54" s="271"/>
      <c r="J54" s="271"/>
      <c r="K54" s="271"/>
      <c r="L54" s="272"/>
      <c r="M54" s="132">
        <f>M48+M53</f>
        <v>29.924202920469362</v>
      </c>
    </row>
    <row r="55" spans="1:13" x14ac:dyDescent="0.25">
      <c r="A55" s="133"/>
      <c r="B55" s="133"/>
      <c r="C55" s="133"/>
      <c r="D55" s="133"/>
      <c r="E55" s="133"/>
      <c r="F55" s="133"/>
      <c r="G55" s="141"/>
      <c r="H55" s="133"/>
      <c r="I55" s="133"/>
      <c r="J55" s="133"/>
      <c r="K55" s="133"/>
      <c r="L55" s="133"/>
      <c r="M55" s="133"/>
    </row>
    <row r="56" spans="1:13" x14ac:dyDescent="0.2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x14ac:dyDescent="0.25">
      <c r="A57" s="275" t="s">
        <v>431</v>
      </c>
      <c r="B57" s="275"/>
      <c r="C57" s="275"/>
      <c r="D57" s="275"/>
      <c r="E57" s="275"/>
      <c r="F57" s="275"/>
      <c r="G57" s="133"/>
      <c r="H57" s="275" t="s">
        <v>431</v>
      </c>
      <c r="I57" s="275"/>
      <c r="J57" s="275"/>
      <c r="K57" s="275"/>
      <c r="L57" s="275"/>
      <c r="M57" s="275"/>
    </row>
    <row r="58" spans="1:13" x14ac:dyDescent="0.25">
      <c r="A58" s="277" t="s">
        <v>476</v>
      </c>
      <c r="B58" s="278"/>
      <c r="C58" s="278"/>
      <c r="D58" s="278"/>
      <c r="E58" s="278"/>
      <c r="F58" s="279"/>
      <c r="G58" s="140"/>
      <c r="H58" s="277" t="s">
        <v>477</v>
      </c>
      <c r="I58" s="278"/>
      <c r="J58" s="278"/>
      <c r="K58" s="278"/>
      <c r="L58" s="278"/>
      <c r="M58" s="279"/>
    </row>
    <row r="59" spans="1:13" x14ac:dyDescent="0.25">
      <c r="A59" s="280" t="s">
        <v>469</v>
      </c>
      <c r="B59" s="281"/>
      <c r="C59" s="281"/>
      <c r="D59" s="281"/>
      <c r="E59" s="281"/>
      <c r="F59" s="282"/>
      <c r="G59" s="140"/>
      <c r="H59" s="280" t="s">
        <v>469</v>
      </c>
      <c r="I59" s="281"/>
      <c r="J59" s="281"/>
      <c r="K59" s="281"/>
      <c r="L59" s="281"/>
      <c r="M59" s="282"/>
    </row>
    <row r="60" spans="1:13" x14ac:dyDescent="0.25">
      <c r="A60" s="287" t="s">
        <v>355</v>
      </c>
      <c r="B60" s="288"/>
      <c r="C60" s="147" t="s">
        <v>292</v>
      </c>
      <c r="D60" s="128" t="s">
        <v>293</v>
      </c>
      <c r="E60" s="128" t="s">
        <v>294</v>
      </c>
      <c r="F60" s="128" t="s">
        <v>295</v>
      </c>
      <c r="G60" s="133"/>
      <c r="H60" s="287" t="s">
        <v>355</v>
      </c>
      <c r="I60" s="288"/>
      <c r="J60" s="147" t="s">
        <v>292</v>
      </c>
      <c r="K60" s="128" t="s">
        <v>293</v>
      </c>
      <c r="L60" s="128" t="s">
        <v>294</v>
      </c>
      <c r="M60" s="128" t="s">
        <v>295</v>
      </c>
    </row>
    <row r="61" spans="1:13" x14ac:dyDescent="0.25">
      <c r="A61" s="129" t="s">
        <v>450</v>
      </c>
      <c r="B61" s="130" t="s">
        <v>436</v>
      </c>
      <c r="C61" s="131" t="s">
        <v>300</v>
      </c>
      <c r="D61" s="130">
        <f>1*1.05</f>
        <v>1.05</v>
      </c>
      <c r="E61" s="132">
        <f>'Conc. resist. norm'!F71</f>
        <v>12.551680586080586</v>
      </c>
      <c r="F61" s="132">
        <f>D61*E61</f>
        <v>13.179264615384616</v>
      </c>
      <c r="G61" s="133"/>
      <c r="H61" s="129" t="s">
        <v>451</v>
      </c>
      <c r="I61" s="130" t="s">
        <v>436</v>
      </c>
      <c r="J61" s="131" t="s">
        <v>300</v>
      </c>
      <c r="K61" s="130">
        <f>1*1.05</f>
        <v>1.05</v>
      </c>
      <c r="L61" s="132">
        <f>'Conc. resist. norm'!M71</f>
        <v>12.551680586080586</v>
      </c>
      <c r="M61" s="132">
        <f>K61*L61</f>
        <v>13.179264615384616</v>
      </c>
    </row>
    <row r="62" spans="1:13" x14ac:dyDescent="0.25">
      <c r="A62" s="129" t="s">
        <v>287</v>
      </c>
      <c r="B62" s="130" t="s">
        <v>438</v>
      </c>
      <c r="C62" s="131" t="s">
        <v>300</v>
      </c>
      <c r="D62" s="130">
        <f>0.8*1.2</f>
        <v>0.96</v>
      </c>
      <c r="E62" s="132">
        <f>'Precios de Mat.'!$B$16</f>
        <v>0</v>
      </c>
      <c r="F62" s="132">
        <f>D62*E62</f>
        <v>0</v>
      </c>
      <c r="G62" s="133"/>
      <c r="H62" s="129" t="s">
        <v>287</v>
      </c>
      <c r="I62" s="130" t="s">
        <v>438</v>
      </c>
      <c r="J62" s="131" t="s">
        <v>300</v>
      </c>
      <c r="K62" s="130">
        <f>0.8*1.2</f>
        <v>0.96</v>
      </c>
      <c r="L62" s="132">
        <f>'Precios de Mat.'!$B$16</f>
        <v>0</v>
      </c>
      <c r="M62" s="132">
        <f>K62*L62</f>
        <v>0</v>
      </c>
    </row>
    <row r="63" spans="1:13" x14ac:dyDescent="0.25">
      <c r="A63" s="129"/>
      <c r="B63" s="134"/>
      <c r="C63" s="131"/>
      <c r="D63" s="135"/>
      <c r="E63" s="132"/>
      <c r="F63" s="132"/>
      <c r="G63" s="133"/>
      <c r="H63" s="129"/>
      <c r="I63" s="134"/>
      <c r="J63" s="131"/>
      <c r="K63" s="135"/>
      <c r="L63" s="132"/>
      <c r="M63" s="132"/>
    </row>
    <row r="64" spans="1:13" x14ac:dyDescent="0.25">
      <c r="A64" s="129"/>
      <c r="B64" s="136"/>
      <c r="C64" s="131"/>
      <c r="D64" s="137"/>
      <c r="E64" s="148"/>
      <c r="F64" s="148"/>
      <c r="G64" s="133"/>
      <c r="H64" s="129"/>
      <c r="I64" s="136"/>
      <c r="J64" s="131"/>
      <c r="K64" s="137"/>
      <c r="L64" s="148"/>
      <c r="M64" s="148"/>
    </row>
    <row r="65" spans="1:13" x14ac:dyDescent="0.25">
      <c r="A65" s="270" t="s">
        <v>305</v>
      </c>
      <c r="B65" s="271"/>
      <c r="C65" s="271"/>
      <c r="D65" s="271"/>
      <c r="E65" s="272"/>
      <c r="F65" s="132">
        <f>F61+F62</f>
        <v>13.179264615384616</v>
      </c>
      <c r="G65" s="133"/>
      <c r="H65" s="270" t="s">
        <v>305</v>
      </c>
      <c r="I65" s="271"/>
      <c r="J65" s="271"/>
      <c r="K65" s="271"/>
      <c r="L65" s="272"/>
      <c r="M65" s="132">
        <f>M61+M62</f>
        <v>13.179264615384616</v>
      </c>
    </row>
    <row r="66" spans="1:13" x14ac:dyDescent="0.25">
      <c r="A66" s="283" t="s">
        <v>306</v>
      </c>
      <c r="B66" s="284"/>
      <c r="C66" s="284"/>
      <c r="D66" s="284"/>
      <c r="E66" s="284"/>
      <c r="F66" s="285"/>
      <c r="G66" s="133"/>
      <c r="H66" s="283" t="s">
        <v>306</v>
      </c>
      <c r="I66" s="284"/>
      <c r="J66" s="284"/>
      <c r="K66" s="284"/>
      <c r="L66" s="284"/>
      <c r="M66" s="285"/>
    </row>
    <row r="67" spans="1:13" x14ac:dyDescent="0.25">
      <c r="A67" s="129" t="s">
        <v>470</v>
      </c>
      <c r="B67" s="130"/>
      <c r="C67" s="131" t="s">
        <v>69</v>
      </c>
      <c r="D67" s="149">
        <v>0.2</v>
      </c>
      <c r="E67" s="132">
        <f>Cuadrillas!$K$355</f>
        <v>0</v>
      </c>
      <c r="F67" s="132">
        <f>D67*E67</f>
        <v>0</v>
      </c>
      <c r="G67" s="133"/>
      <c r="H67" s="129" t="s">
        <v>470</v>
      </c>
      <c r="I67" s="130"/>
      <c r="J67" s="131" t="s">
        <v>69</v>
      </c>
      <c r="K67" s="149">
        <v>0.2</v>
      </c>
      <c r="L67" s="132">
        <f>Cuadrillas!$K$355</f>
        <v>0</v>
      </c>
      <c r="M67" s="132">
        <f>K67*L67</f>
        <v>0</v>
      </c>
    </row>
    <row r="68" spans="1:13" x14ac:dyDescent="0.25">
      <c r="A68" s="266" t="s">
        <v>455</v>
      </c>
      <c r="B68" s="267"/>
      <c r="C68" s="131" t="s">
        <v>69</v>
      </c>
      <c r="D68" s="149">
        <f>0.0235*10</f>
        <v>0.23499999999999999</v>
      </c>
      <c r="E68" s="132">
        <f>Cuadrillas!$E$18</f>
        <v>0</v>
      </c>
      <c r="F68" s="132">
        <f>D68*E68</f>
        <v>0</v>
      </c>
      <c r="G68" s="133"/>
      <c r="H68" s="266" t="s">
        <v>455</v>
      </c>
      <c r="I68" s="267"/>
      <c r="J68" s="131" t="s">
        <v>69</v>
      </c>
      <c r="K68" s="149">
        <f>0.0235*10</f>
        <v>0.23499999999999999</v>
      </c>
      <c r="L68" s="132">
        <f>Cuadrillas!$E$18</f>
        <v>0</v>
      </c>
      <c r="M68" s="132">
        <f>K68*L68</f>
        <v>0</v>
      </c>
    </row>
    <row r="69" spans="1:13" x14ac:dyDescent="0.25">
      <c r="A69" s="138" t="s">
        <v>471</v>
      </c>
      <c r="B69" s="130"/>
      <c r="C69" s="130" t="s">
        <v>369</v>
      </c>
      <c r="D69" s="149">
        <v>0.8</v>
      </c>
      <c r="E69" s="132">
        <f>Equipo!$I$114</f>
        <v>20.931172881355934</v>
      </c>
      <c r="F69" s="132">
        <f>D69*E69</f>
        <v>16.744938305084748</v>
      </c>
      <c r="G69" s="139"/>
      <c r="H69" s="138" t="s">
        <v>471</v>
      </c>
      <c r="I69" s="130"/>
      <c r="J69" s="130" t="s">
        <v>369</v>
      </c>
      <c r="K69" s="149">
        <v>0.8</v>
      </c>
      <c r="L69" s="132">
        <f>Equipo!$I$114</f>
        <v>20.931172881355934</v>
      </c>
      <c r="M69" s="132">
        <f>K69*L69</f>
        <v>16.744938305084748</v>
      </c>
    </row>
    <row r="70" spans="1:13" x14ac:dyDescent="0.25">
      <c r="A70" s="270" t="s">
        <v>305</v>
      </c>
      <c r="B70" s="271"/>
      <c r="C70" s="271"/>
      <c r="D70" s="271"/>
      <c r="E70" s="272"/>
      <c r="F70" s="132">
        <f>F67+F68+F69</f>
        <v>16.744938305084748</v>
      </c>
      <c r="G70" s="139"/>
      <c r="H70" s="270" t="s">
        <v>305</v>
      </c>
      <c r="I70" s="271"/>
      <c r="J70" s="271"/>
      <c r="K70" s="271"/>
      <c r="L70" s="272"/>
      <c r="M70" s="132">
        <f>M67+M68+M69</f>
        <v>16.744938305084748</v>
      </c>
    </row>
    <row r="71" spans="1:13" x14ac:dyDescent="0.25">
      <c r="A71" s="270" t="s">
        <v>307</v>
      </c>
      <c r="B71" s="271"/>
      <c r="C71" s="271"/>
      <c r="D71" s="271"/>
      <c r="E71" s="272"/>
      <c r="F71" s="132">
        <f>F65+F70</f>
        <v>29.924202920469362</v>
      </c>
      <c r="G71" s="133"/>
      <c r="H71" s="270" t="s">
        <v>307</v>
      </c>
      <c r="I71" s="271"/>
      <c r="J71" s="271"/>
      <c r="K71" s="271"/>
      <c r="L71" s="272"/>
      <c r="M71" s="132">
        <f>M65+M70</f>
        <v>29.924202920469362</v>
      </c>
    </row>
    <row r="72" spans="1:13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3" x14ac:dyDescent="0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3" x14ac:dyDescent="0.25">
      <c r="A74" s="275" t="s">
        <v>431</v>
      </c>
      <c r="B74" s="275"/>
      <c r="C74" s="275"/>
      <c r="D74" s="275"/>
      <c r="E74" s="275"/>
      <c r="F74" s="275"/>
      <c r="G74" s="141"/>
      <c r="H74" s="141"/>
      <c r="I74" s="141"/>
      <c r="J74" s="141"/>
      <c r="K74" s="141"/>
      <c r="L74" s="141"/>
      <c r="M74" s="141"/>
    </row>
    <row r="75" spans="1:13" x14ac:dyDescent="0.25">
      <c r="A75" s="277" t="s">
        <v>478</v>
      </c>
      <c r="B75" s="278"/>
      <c r="C75" s="278"/>
      <c r="D75" s="278"/>
      <c r="E75" s="278"/>
      <c r="F75" s="279"/>
      <c r="G75" s="141"/>
      <c r="H75" s="141"/>
      <c r="I75" s="141"/>
      <c r="J75" s="141"/>
      <c r="K75" s="141"/>
      <c r="L75" s="141"/>
      <c r="M75" s="141"/>
    </row>
    <row r="76" spans="1:13" x14ac:dyDescent="0.25">
      <c r="A76" s="280" t="s">
        <v>469</v>
      </c>
      <c r="B76" s="281"/>
      <c r="C76" s="281"/>
      <c r="D76" s="281"/>
      <c r="E76" s="281"/>
      <c r="F76" s="282"/>
      <c r="G76" s="141"/>
      <c r="H76" s="141"/>
      <c r="I76" s="141"/>
      <c r="J76" s="141"/>
      <c r="K76" s="141"/>
      <c r="L76" s="141"/>
      <c r="M76" s="141"/>
    </row>
    <row r="77" spans="1:13" x14ac:dyDescent="0.25">
      <c r="A77" s="287" t="s">
        <v>355</v>
      </c>
      <c r="B77" s="288"/>
      <c r="C77" s="147" t="s">
        <v>292</v>
      </c>
      <c r="D77" s="128" t="s">
        <v>293</v>
      </c>
      <c r="E77" s="128" t="s">
        <v>294</v>
      </c>
      <c r="F77" s="128" t="s">
        <v>295</v>
      </c>
      <c r="G77" s="141"/>
      <c r="H77" s="141"/>
      <c r="I77" s="141"/>
      <c r="J77" s="141"/>
      <c r="K77" s="141"/>
      <c r="L77" s="141"/>
      <c r="M77" s="141"/>
    </row>
    <row r="78" spans="1:13" x14ac:dyDescent="0.25">
      <c r="A78" s="129" t="s">
        <v>453</v>
      </c>
      <c r="B78" s="130" t="s">
        <v>436</v>
      </c>
      <c r="C78" s="131" t="s">
        <v>300</v>
      </c>
      <c r="D78" s="130">
        <f>1*1.05</f>
        <v>1.05</v>
      </c>
      <c r="E78" s="132">
        <f>'Conc. resist. norm'!F88</f>
        <v>12.551680586080586</v>
      </c>
      <c r="F78" s="132">
        <f>D78*E78</f>
        <v>13.179264615384616</v>
      </c>
      <c r="G78" s="141"/>
      <c r="H78" s="141"/>
      <c r="I78" s="141"/>
      <c r="J78" s="141"/>
      <c r="K78" s="141"/>
      <c r="L78" s="141"/>
      <c r="M78" s="141"/>
    </row>
    <row r="79" spans="1:13" x14ac:dyDescent="0.25">
      <c r="A79" s="129" t="s">
        <v>287</v>
      </c>
      <c r="B79" s="130" t="s">
        <v>438</v>
      </c>
      <c r="C79" s="131" t="s">
        <v>300</v>
      </c>
      <c r="D79" s="130">
        <f>0.8*1.2</f>
        <v>0.96</v>
      </c>
      <c r="E79" s="132">
        <f>'Precios de Mat.'!$B$16</f>
        <v>0</v>
      </c>
      <c r="F79" s="132">
        <f>D79*E79</f>
        <v>0</v>
      </c>
      <c r="G79" s="141"/>
      <c r="H79" s="141"/>
      <c r="I79" s="141"/>
      <c r="J79" s="141"/>
      <c r="K79" s="141"/>
      <c r="L79" s="141"/>
      <c r="M79" s="141"/>
    </row>
    <row r="80" spans="1:13" x14ac:dyDescent="0.25">
      <c r="A80" s="129"/>
      <c r="B80" s="134"/>
      <c r="C80" s="131"/>
      <c r="D80" s="135"/>
      <c r="E80" s="132"/>
      <c r="F80" s="132"/>
      <c r="G80" s="141"/>
      <c r="H80" s="141"/>
      <c r="I80" s="141"/>
      <c r="J80" s="141"/>
      <c r="K80" s="141"/>
      <c r="L80" s="141"/>
      <c r="M80" s="141"/>
    </row>
    <row r="81" spans="1:13" x14ac:dyDescent="0.25">
      <c r="A81" s="129"/>
      <c r="B81" s="136"/>
      <c r="C81" s="131"/>
      <c r="D81" s="137"/>
      <c r="E81" s="148"/>
      <c r="F81" s="148"/>
      <c r="G81" s="141"/>
      <c r="H81" s="141"/>
      <c r="I81" s="141"/>
      <c r="J81" s="141"/>
      <c r="K81" s="141"/>
      <c r="L81" s="141"/>
      <c r="M81" s="141"/>
    </row>
    <row r="82" spans="1:13" x14ac:dyDescent="0.25">
      <c r="A82" s="270" t="s">
        <v>305</v>
      </c>
      <c r="B82" s="271"/>
      <c r="C82" s="271"/>
      <c r="D82" s="271"/>
      <c r="E82" s="272"/>
      <c r="F82" s="132">
        <f>F78+F79</f>
        <v>13.179264615384616</v>
      </c>
      <c r="G82" s="141"/>
      <c r="H82" s="141"/>
      <c r="I82" s="141"/>
      <c r="J82" s="141"/>
      <c r="K82" s="141"/>
      <c r="L82" s="141"/>
      <c r="M82" s="141"/>
    </row>
    <row r="83" spans="1:13" x14ac:dyDescent="0.25">
      <c r="A83" s="283" t="s">
        <v>306</v>
      </c>
      <c r="B83" s="284"/>
      <c r="C83" s="284"/>
      <c r="D83" s="284"/>
      <c r="E83" s="284"/>
      <c r="F83" s="285"/>
      <c r="G83" s="141"/>
      <c r="H83" s="141"/>
      <c r="I83" s="141"/>
      <c r="J83" s="141"/>
      <c r="K83" s="141"/>
      <c r="L83" s="141"/>
      <c r="M83" s="141"/>
    </row>
    <row r="84" spans="1:13" x14ac:dyDescent="0.25">
      <c r="A84" s="129" t="s">
        <v>470</v>
      </c>
      <c r="B84" s="130"/>
      <c r="C84" s="131" t="s">
        <v>69</v>
      </c>
      <c r="D84" s="149">
        <v>0.2</v>
      </c>
      <c r="E84" s="132">
        <f>Cuadrillas!$K$355</f>
        <v>0</v>
      </c>
      <c r="F84" s="132">
        <f>D84*E84</f>
        <v>0</v>
      </c>
      <c r="G84" s="141"/>
      <c r="H84" s="141"/>
      <c r="I84" s="141"/>
      <c r="J84" s="141"/>
      <c r="K84" s="141"/>
      <c r="L84" s="141"/>
      <c r="M84" s="141"/>
    </row>
    <row r="85" spans="1:13" x14ac:dyDescent="0.25">
      <c r="A85" s="266" t="s">
        <v>455</v>
      </c>
      <c r="B85" s="267"/>
      <c r="C85" s="131" t="s">
        <v>69</v>
      </c>
      <c r="D85" s="149">
        <f>0.0235*10</f>
        <v>0.23499999999999999</v>
      </c>
      <c r="E85" s="132">
        <f>Cuadrillas!$E$18</f>
        <v>0</v>
      </c>
      <c r="F85" s="132">
        <f>D85*E85</f>
        <v>0</v>
      </c>
      <c r="G85" s="141"/>
      <c r="H85" s="141"/>
      <c r="I85" s="141"/>
      <c r="J85" s="141"/>
      <c r="K85" s="141"/>
      <c r="L85" s="141"/>
      <c r="M85" s="141"/>
    </row>
    <row r="86" spans="1:13" x14ac:dyDescent="0.25">
      <c r="A86" s="138" t="s">
        <v>471</v>
      </c>
      <c r="B86" s="130"/>
      <c r="C86" s="130" t="s">
        <v>369</v>
      </c>
      <c r="D86" s="149">
        <v>0.8</v>
      </c>
      <c r="E86" s="132">
        <f>Equipo!$I$114</f>
        <v>20.931172881355934</v>
      </c>
      <c r="F86" s="132">
        <f>D86*E86</f>
        <v>16.744938305084748</v>
      </c>
      <c r="G86" s="141"/>
      <c r="H86" s="141"/>
      <c r="I86" s="141"/>
      <c r="J86" s="141"/>
      <c r="K86" s="141"/>
      <c r="L86" s="141"/>
      <c r="M86" s="141"/>
    </row>
    <row r="87" spans="1:13" x14ac:dyDescent="0.25">
      <c r="A87" s="270" t="s">
        <v>305</v>
      </c>
      <c r="B87" s="271"/>
      <c r="C87" s="271"/>
      <c r="D87" s="271"/>
      <c r="E87" s="272"/>
      <c r="F87" s="132">
        <f>F84+F85+F86</f>
        <v>16.744938305084748</v>
      </c>
      <c r="G87" s="141"/>
      <c r="H87" s="141"/>
      <c r="I87" s="141"/>
      <c r="J87" s="141"/>
      <c r="K87" s="141"/>
      <c r="L87" s="141"/>
      <c r="M87" s="141"/>
    </row>
    <row r="88" spans="1:13" x14ac:dyDescent="0.25">
      <c r="A88" s="270" t="s">
        <v>307</v>
      </c>
      <c r="B88" s="271"/>
      <c r="C88" s="271"/>
      <c r="D88" s="271"/>
      <c r="E88" s="272"/>
      <c r="F88" s="132">
        <f>F82+F87</f>
        <v>29.924202920469362</v>
      </c>
      <c r="G88" s="141"/>
      <c r="H88" s="141"/>
      <c r="I88" s="141"/>
      <c r="J88" s="141"/>
      <c r="K88" s="141"/>
      <c r="L88" s="141"/>
      <c r="M88" s="141"/>
    </row>
  </sheetData>
  <mergeCells count="85">
    <mergeCell ref="A6:F6"/>
    <mergeCell ref="H6:M6"/>
    <mergeCell ref="A7:F7"/>
    <mergeCell ref="H7:M7"/>
    <mergeCell ref="A8:F8"/>
    <mergeCell ref="H8:M8"/>
    <mergeCell ref="A9:B9"/>
    <mergeCell ref="H9:I9"/>
    <mergeCell ref="A14:E14"/>
    <mergeCell ref="H14:L14"/>
    <mergeCell ref="A15:F15"/>
    <mergeCell ref="H15:M15"/>
    <mergeCell ref="A25:F25"/>
    <mergeCell ref="H25:M25"/>
    <mergeCell ref="A17:B17"/>
    <mergeCell ref="A19:E19"/>
    <mergeCell ref="H19:L19"/>
    <mergeCell ref="A20:E20"/>
    <mergeCell ref="H20:L20"/>
    <mergeCell ref="H17:I17"/>
    <mergeCell ref="A36:E36"/>
    <mergeCell ref="H36:L36"/>
    <mergeCell ref="A37:E37"/>
    <mergeCell ref="H37:L37"/>
    <mergeCell ref="A40:F40"/>
    <mergeCell ref="H40:M40"/>
    <mergeCell ref="A41:F41"/>
    <mergeCell ref="H41:M41"/>
    <mergeCell ref="A42:F42"/>
    <mergeCell ref="H42:M42"/>
    <mergeCell ref="A43:B43"/>
    <mergeCell ref="H43:I43"/>
    <mergeCell ref="A48:E48"/>
    <mergeCell ref="H48:L48"/>
    <mergeCell ref="A49:F49"/>
    <mergeCell ref="H49:M49"/>
    <mergeCell ref="A53:E53"/>
    <mergeCell ref="H53:L53"/>
    <mergeCell ref="A83:F83"/>
    <mergeCell ref="A70:E70"/>
    <mergeCell ref="H66:M66"/>
    <mergeCell ref="A87:E87"/>
    <mergeCell ref="A88:E88"/>
    <mergeCell ref="A74:F74"/>
    <mergeCell ref="A75:F75"/>
    <mergeCell ref="A76:F76"/>
    <mergeCell ref="A77:B77"/>
    <mergeCell ref="A68:B68"/>
    <mergeCell ref="H68:I68"/>
    <mergeCell ref="A85:B85"/>
    <mergeCell ref="H70:L70"/>
    <mergeCell ref="A71:E71"/>
    <mergeCell ref="H71:L71"/>
    <mergeCell ref="A66:F66"/>
    <mergeCell ref="A51:B51"/>
    <mergeCell ref="H51:I51"/>
    <mergeCell ref="A82:E82"/>
    <mergeCell ref="A59:F59"/>
    <mergeCell ref="H59:M59"/>
    <mergeCell ref="A60:B60"/>
    <mergeCell ref="H60:I60"/>
    <mergeCell ref="A65:E65"/>
    <mergeCell ref="H65:L65"/>
    <mergeCell ref="A54:E54"/>
    <mergeCell ref="H54:L54"/>
    <mergeCell ref="A57:F57"/>
    <mergeCell ref="H57:M57"/>
    <mergeCell ref="A58:F58"/>
    <mergeCell ref="H58:M58"/>
    <mergeCell ref="A1:M1"/>
    <mergeCell ref="A2:M2"/>
    <mergeCell ref="A3:M3"/>
    <mergeCell ref="A4:M4"/>
    <mergeCell ref="A34:B34"/>
    <mergeCell ref="H34:I34"/>
    <mergeCell ref="A26:B26"/>
    <mergeCell ref="H26:I26"/>
    <mergeCell ref="A31:E31"/>
    <mergeCell ref="H31:L31"/>
    <mergeCell ref="A32:F32"/>
    <mergeCell ref="H32:M32"/>
    <mergeCell ref="A23:F23"/>
    <mergeCell ref="H23:M23"/>
    <mergeCell ref="A24:F24"/>
    <mergeCell ref="H24:M24"/>
  </mergeCells>
  <phoneticPr fontId="0" type="noConversion"/>
  <pageMargins left="0.75" right="0.75" top="0.14000000000000001" bottom="1" header="0" footer="0"/>
  <pageSetup scale="72" orientation="portrait" horizontalDpi="4294967293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M88"/>
  <sheetViews>
    <sheetView zoomScaleNormal="100" workbookViewId="0">
      <selection activeCell="A6" sqref="A6:F6"/>
    </sheetView>
  </sheetViews>
  <sheetFormatPr baseColWidth="10" defaultRowHeight="13.2" x14ac:dyDescent="0.25"/>
  <cols>
    <col min="7" max="7" width="4.33203125" customWidth="1"/>
  </cols>
  <sheetData>
    <row r="1" spans="1:13" ht="23.4" x14ac:dyDescent="0.25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x14ac:dyDescent="0.25">
      <c r="A3" s="200" t="s">
        <v>562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x14ac:dyDescent="0.25">
      <c r="A5" s="146"/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</row>
    <row r="6" spans="1:13" x14ac:dyDescent="0.25">
      <c r="A6" s="275" t="s">
        <v>431</v>
      </c>
      <c r="B6" s="275"/>
      <c r="C6" s="275"/>
      <c r="D6" s="275"/>
      <c r="E6" s="275"/>
      <c r="F6" s="275"/>
      <c r="G6" s="126"/>
      <c r="H6" s="275" t="s">
        <v>431</v>
      </c>
      <c r="I6" s="275"/>
      <c r="J6" s="275"/>
      <c r="K6" s="275"/>
      <c r="L6" s="275"/>
      <c r="M6" s="275"/>
    </row>
    <row r="7" spans="1:13" x14ac:dyDescent="0.25">
      <c r="A7" s="277" t="s">
        <v>479</v>
      </c>
      <c r="B7" s="278"/>
      <c r="C7" s="278"/>
      <c r="D7" s="278"/>
      <c r="E7" s="278"/>
      <c r="F7" s="279"/>
      <c r="G7" s="127"/>
      <c r="H7" s="277" t="s">
        <v>480</v>
      </c>
      <c r="I7" s="278"/>
      <c r="J7" s="278"/>
      <c r="K7" s="278"/>
      <c r="L7" s="278"/>
      <c r="M7" s="279"/>
    </row>
    <row r="8" spans="1:13" x14ac:dyDescent="0.25">
      <c r="A8" s="280" t="s">
        <v>469</v>
      </c>
      <c r="B8" s="281"/>
      <c r="C8" s="281"/>
      <c r="D8" s="281"/>
      <c r="E8" s="281"/>
      <c r="F8" s="282"/>
      <c r="G8" s="127"/>
      <c r="H8" s="280" t="s">
        <v>469</v>
      </c>
      <c r="I8" s="281"/>
      <c r="J8" s="281"/>
      <c r="K8" s="281"/>
      <c r="L8" s="281"/>
      <c r="M8" s="282"/>
    </row>
    <row r="9" spans="1:13" x14ac:dyDescent="0.25">
      <c r="A9" s="287" t="s">
        <v>355</v>
      </c>
      <c r="B9" s="288"/>
      <c r="C9" s="147" t="s">
        <v>292</v>
      </c>
      <c r="D9" s="128" t="s">
        <v>293</v>
      </c>
      <c r="E9" s="128" t="s">
        <v>294</v>
      </c>
      <c r="F9" s="128" t="s">
        <v>295</v>
      </c>
      <c r="G9" s="126"/>
      <c r="H9" s="287" t="s">
        <v>355</v>
      </c>
      <c r="I9" s="288"/>
      <c r="J9" s="147" t="s">
        <v>292</v>
      </c>
      <c r="K9" s="128" t="s">
        <v>293</v>
      </c>
      <c r="L9" s="128" t="s">
        <v>294</v>
      </c>
      <c r="M9" s="128" t="s">
        <v>295</v>
      </c>
    </row>
    <row r="10" spans="1:13" x14ac:dyDescent="0.25">
      <c r="A10" s="129" t="s">
        <v>435</v>
      </c>
      <c r="B10" s="130" t="s">
        <v>436</v>
      </c>
      <c r="C10" s="131" t="s">
        <v>300</v>
      </c>
      <c r="D10" s="130">
        <f>1*1.05</f>
        <v>1.05</v>
      </c>
      <c r="E10" s="132">
        <f>'Conc. Imp'!F20</f>
        <v>12.551680586080586</v>
      </c>
      <c r="F10" s="132">
        <f>D10*E10</f>
        <v>13.179264615384616</v>
      </c>
      <c r="G10" s="133"/>
      <c r="H10" s="129" t="s">
        <v>437</v>
      </c>
      <c r="I10" s="130" t="s">
        <v>436</v>
      </c>
      <c r="J10" s="131" t="s">
        <v>300</v>
      </c>
      <c r="K10" s="130">
        <f>1*1.05</f>
        <v>1.05</v>
      </c>
      <c r="L10" s="132">
        <f>'Conc. Imp'!M20</f>
        <v>12.551680586080586</v>
      </c>
      <c r="M10" s="132">
        <f>K10*L10</f>
        <v>13.179264615384616</v>
      </c>
    </row>
    <row r="11" spans="1:13" x14ac:dyDescent="0.25">
      <c r="A11" s="129" t="s">
        <v>287</v>
      </c>
      <c r="B11" s="130" t="s">
        <v>438</v>
      </c>
      <c r="C11" s="131" t="s">
        <v>300</v>
      </c>
      <c r="D11" s="130">
        <f>0.8*1.2</f>
        <v>0.96</v>
      </c>
      <c r="E11" s="132">
        <f>'Precios de Mat.'!$B$16</f>
        <v>0</v>
      </c>
      <c r="F11" s="132">
        <f>D11*E11</f>
        <v>0</v>
      </c>
      <c r="G11" s="133"/>
      <c r="H11" s="129" t="s">
        <v>287</v>
      </c>
      <c r="I11" s="130" t="s">
        <v>438</v>
      </c>
      <c r="J11" s="131" t="s">
        <v>300</v>
      </c>
      <c r="K11" s="130">
        <f>0.8*1.2</f>
        <v>0.96</v>
      </c>
      <c r="L11" s="132">
        <f>'Precios de Mat.'!$B$16</f>
        <v>0</v>
      </c>
      <c r="M11" s="132">
        <f>K11*L11</f>
        <v>0</v>
      </c>
    </row>
    <row r="12" spans="1:13" x14ac:dyDescent="0.25">
      <c r="A12" s="129"/>
      <c r="B12" s="134"/>
      <c r="C12" s="131"/>
      <c r="D12" s="135"/>
      <c r="E12" s="132"/>
      <c r="F12" s="132"/>
      <c r="G12" s="133"/>
      <c r="H12" s="129"/>
      <c r="I12" s="134"/>
      <c r="J12" s="131"/>
      <c r="K12" s="135"/>
      <c r="L12" s="132"/>
      <c r="M12" s="132"/>
    </row>
    <row r="13" spans="1:13" x14ac:dyDescent="0.25">
      <c r="A13" s="129"/>
      <c r="B13" s="136"/>
      <c r="C13" s="131"/>
      <c r="D13" s="137"/>
      <c r="E13" s="148"/>
      <c r="F13" s="148"/>
      <c r="G13" s="133"/>
      <c r="H13" s="129"/>
      <c r="I13" s="136"/>
      <c r="J13" s="131"/>
      <c r="K13" s="137"/>
      <c r="L13" s="148"/>
      <c r="M13" s="148"/>
    </row>
    <row r="14" spans="1:13" x14ac:dyDescent="0.25">
      <c r="A14" s="270" t="s">
        <v>305</v>
      </c>
      <c r="B14" s="271"/>
      <c r="C14" s="271"/>
      <c r="D14" s="271"/>
      <c r="E14" s="272"/>
      <c r="F14" s="132">
        <f>F10+F11</f>
        <v>13.179264615384616</v>
      </c>
      <c r="G14" s="133"/>
      <c r="H14" s="270" t="s">
        <v>305</v>
      </c>
      <c r="I14" s="271"/>
      <c r="J14" s="271"/>
      <c r="K14" s="271"/>
      <c r="L14" s="272"/>
      <c r="M14" s="132">
        <f>M10+M11</f>
        <v>13.179264615384616</v>
      </c>
    </row>
    <row r="15" spans="1:13" x14ac:dyDescent="0.25">
      <c r="A15" s="283" t="s">
        <v>306</v>
      </c>
      <c r="B15" s="284"/>
      <c r="C15" s="284"/>
      <c r="D15" s="284"/>
      <c r="E15" s="284"/>
      <c r="F15" s="285"/>
      <c r="G15" s="133"/>
      <c r="H15" s="283" t="s">
        <v>306</v>
      </c>
      <c r="I15" s="284"/>
      <c r="J15" s="284"/>
      <c r="K15" s="284"/>
      <c r="L15" s="284"/>
      <c r="M15" s="285"/>
    </row>
    <row r="16" spans="1:13" x14ac:dyDescent="0.25">
      <c r="A16" s="129" t="s">
        <v>470</v>
      </c>
      <c r="B16" s="130"/>
      <c r="C16" s="131" t="s">
        <v>69</v>
      </c>
      <c r="D16" s="149">
        <v>0.2</v>
      </c>
      <c r="E16" s="132">
        <f>Cuadrillas!$K$355</f>
        <v>0</v>
      </c>
      <c r="F16" s="132">
        <f>D16*E16</f>
        <v>0</v>
      </c>
      <c r="G16" s="133"/>
      <c r="H16" s="129" t="s">
        <v>470</v>
      </c>
      <c r="I16" s="130"/>
      <c r="J16" s="131" t="s">
        <v>69</v>
      </c>
      <c r="K16" s="149">
        <v>0.2</v>
      </c>
      <c r="L16" s="132">
        <f>Cuadrillas!$K$355</f>
        <v>0</v>
      </c>
      <c r="M16" s="132">
        <f>K16*L16</f>
        <v>0</v>
      </c>
    </row>
    <row r="17" spans="1:13" x14ac:dyDescent="0.25">
      <c r="A17" s="266" t="s">
        <v>455</v>
      </c>
      <c r="B17" s="267"/>
      <c r="C17" s="131" t="s">
        <v>69</v>
      </c>
      <c r="D17" s="149">
        <f>0.0235*10</f>
        <v>0.23499999999999999</v>
      </c>
      <c r="E17" s="132">
        <f>Cuadrillas!$E$18</f>
        <v>0</v>
      </c>
      <c r="F17" s="132">
        <f>D17*E17</f>
        <v>0</v>
      </c>
      <c r="G17" s="133"/>
      <c r="H17" s="266" t="s">
        <v>455</v>
      </c>
      <c r="I17" s="267"/>
      <c r="J17" s="131" t="s">
        <v>69</v>
      </c>
      <c r="K17" s="149">
        <f>0.0235*10</f>
        <v>0.23499999999999999</v>
      </c>
      <c r="L17" s="132">
        <f>Cuadrillas!$E$18</f>
        <v>0</v>
      </c>
      <c r="M17" s="132">
        <f>K17*L17</f>
        <v>0</v>
      </c>
    </row>
    <row r="18" spans="1:13" x14ac:dyDescent="0.25">
      <c r="A18" s="138" t="s">
        <v>471</v>
      </c>
      <c r="B18" s="130"/>
      <c r="C18" s="130" t="s">
        <v>369</v>
      </c>
      <c r="D18" s="149">
        <v>0.8</v>
      </c>
      <c r="E18" s="132">
        <f>Equipo!$I$114</f>
        <v>20.931172881355934</v>
      </c>
      <c r="F18" s="132">
        <f>D18*E18</f>
        <v>16.744938305084748</v>
      </c>
      <c r="G18" s="139"/>
      <c r="H18" s="138" t="s">
        <v>471</v>
      </c>
      <c r="I18" s="130"/>
      <c r="J18" s="130" t="s">
        <v>369</v>
      </c>
      <c r="K18" s="149">
        <v>0.8</v>
      </c>
      <c r="L18" s="132">
        <f>Equipo!$I$114</f>
        <v>20.931172881355934</v>
      </c>
      <c r="M18" s="132">
        <f>K18*L18</f>
        <v>16.744938305084748</v>
      </c>
    </row>
    <row r="19" spans="1:13" x14ac:dyDescent="0.25">
      <c r="A19" s="270" t="s">
        <v>305</v>
      </c>
      <c r="B19" s="271"/>
      <c r="C19" s="271"/>
      <c r="D19" s="271"/>
      <c r="E19" s="272"/>
      <c r="F19" s="132">
        <f>F16+F17+F18</f>
        <v>16.744938305084748</v>
      </c>
      <c r="G19" s="139"/>
      <c r="H19" s="270" t="s">
        <v>305</v>
      </c>
      <c r="I19" s="271"/>
      <c r="J19" s="271"/>
      <c r="K19" s="271"/>
      <c r="L19" s="272"/>
      <c r="M19" s="132">
        <f>M16+M17+M18</f>
        <v>16.744938305084748</v>
      </c>
    </row>
    <row r="20" spans="1:13" x14ac:dyDescent="0.25">
      <c r="A20" s="270" t="s">
        <v>307</v>
      </c>
      <c r="B20" s="271"/>
      <c r="C20" s="271"/>
      <c r="D20" s="271"/>
      <c r="E20" s="272"/>
      <c r="F20" s="132">
        <f>F14+F19</f>
        <v>29.924202920469362</v>
      </c>
      <c r="G20" s="133"/>
      <c r="H20" s="270" t="s">
        <v>307</v>
      </c>
      <c r="I20" s="271"/>
      <c r="J20" s="271"/>
      <c r="K20" s="271"/>
      <c r="L20" s="272"/>
      <c r="M20" s="132">
        <f>M14+M19</f>
        <v>29.924202920469362</v>
      </c>
    </row>
    <row r="21" spans="1:13" x14ac:dyDescent="0.25">
      <c r="A21" s="133"/>
      <c r="B21" s="133"/>
      <c r="C21" s="140"/>
      <c r="D21" s="140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x14ac:dyDescent="0.25">
      <c r="A22" s="133"/>
      <c r="B22" s="133"/>
      <c r="C22" s="140"/>
      <c r="D22" s="140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x14ac:dyDescent="0.25">
      <c r="A23" s="275" t="s">
        <v>431</v>
      </c>
      <c r="B23" s="275"/>
      <c r="C23" s="275"/>
      <c r="D23" s="275"/>
      <c r="E23" s="275"/>
      <c r="F23" s="275"/>
      <c r="G23" s="133"/>
      <c r="H23" s="275" t="s">
        <v>431</v>
      </c>
      <c r="I23" s="275"/>
      <c r="J23" s="275"/>
      <c r="K23" s="275"/>
      <c r="L23" s="275"/>
      <c r="M23" s="275"/>
    </row>
    <row r="24" spans="1:13" x14ac:dyDescent="0.25">
      <c r="A24" s="277" t="s">
        <v>481</v>
      </c>
      <c r="B24" s="278"/>
      <c r="C24" s="278"/>
      <c r="D24" s="278"/>
      <c r="E24" s="278"/>
      <c r="F24" s="279"/>
      <c r="G24" s="140"/>
      <c r="H24" s="277" t="s">
        <v>482</v>
      </c>
      <c r="I24" s="278"/>
      <c r="J24" s="278"/>
      <c r="K24" s="278"/>
      <c r="L24" s="278"/>
      <c r="M24" s="279"/>
    </row>
    <row r="25" spans="1:13" x14ac:dyDescent="0.25">
      <c r="A25" s="280" t="s">
        <v>469</v>
      </c>
      <c r="B25" s="281"/>
      <c r="C25" s="281"/>
      <c r="D25" s="281"/>
      <c r="E25" s="281"/>
      <c r="F25" s="282"/>
      <c r="G25" s="140"/>
      <c r="H25" s="280" t="s">
        <v>469</v>
      </c>
      <c r="I25" s="281"/>
      <c r="J25" s="281"/>
      <c r="K25" s="281"/>
      <c r="L25" s="281"/>
      <c r="M25" s="282"/>
    </row>
    <row r="26" spans="1:13" x14ac:dyDescent="0.25">
      <c r="A26" s="287" t="s">
        <v>355</v>
      </c>
      <c r="B26" s="288"/>
      <c r="C26" s="147" t="s">
        <v>292</v>
      </c>
      <c r="D26" s="128" t="s">
        <v>293</v>
      </c>
      <c r="E26" s="128" t="s">
        <v>294</v>
      </c>
      <c r="F26" s="128" t="s">
        <v>295</v>
      </c>
      <c r="G26" s="133"/>
      <c r="H26" s="287" t="s">
        <v>355</v>
      </c>
      <c r="I26" s="288"/>
      <c r="J26" s="147" t="s">
        <v>292</v>
      </c>
      <c r="K26" s="128" t="s">
        <v>293</v>
      </c>
      <c r="L26" s="128" t="s">
        <v>294</v>
      </c>
      <c r="M26" s="128" t="s">
        <v>295</v>
      </c>
    </row>
    <row r="27" spans="1:13" x14ac:dyDescent="0.25">
      <c r="A27" s="129" t="s">
        <v>442</v>
      </c>
      <c r="B27" s="130" t="s">
        <v>436</v>
      </c>
      <c r="C27" s="131" t="s">
        <v>300</v>
      </c>
      <c r="D27" s="130">
        <f>1*1.05</f>
        <v>1.05</v>
      </c>
      <c r="E27" s="132">
        <f>'Conc. Imp'!F37</f>
        <v>12.551680586080586</v>
      </c>
      <c r="F27" s="132">
        <f>D27*E27</f>
        <v>13.179264615384616</v>
      </c>
      <c r="G27" s="133"/>
      <c r="H27" s="129" t="s">
        <v>443</v>
      </c>
      <c r="I27" s="130" t="s">
        <v>436</v>
      </c>
      <c r="J27" s="131" t="s">
        <v>300</v>
      </c>
      <c r="K27" s="130">
        <f>1*1.05</f>
        <v>1.05</v>
      </c>
      <c r="L27" s="132">
        <f>'Conc. Imp'!M37</f>
        <v>12.551680586080586</v>
      </c>
      <c r="M27" s="132">
        <f>K27*L27</f>
        <v>13.179264615384616</v>
      </c>
    </row>
    <row r="28" spans="1:13" x14ac:dyDescent="0.25">
      <c r="A28" s="129" t="s">
        <v>287</v>
      </c>
      <c r="B28" s="130" t="s">
        <v>438</v>
      </c>
      <c r="C28" s="131" t="s">
        <v>300</v>
      </c>
      <c r="D28" s="130">
        <f>0.8*1.2</f>
        <v>0.96</v>
      </c>
      <c r="E28" s="132">
        <f>'Precios de Mat.'!$B$16</f>
        <v>0</v>
      </c>
      <c r="F28" s="132">
        <f>D28*E28</f>
        <v>0</v>
      </c>
      <c r="G28" s="133"/>
      <c r="H28" s="129" t="s">
        <v>287</v>
      </c>
      <c r="I28" s="130" t="s">
        <v>438</v>
      </c>
      <c r="J28" s="131" t="s">
        <v>300</v>
      </c>
      <c r="K28" s="130">
        <f>0.8*1.2</f>
        <v>0.96</v>
      </c>
      <c r="L28" s="132">
        <f>'Precios de Mat.'!$B$16</f>
        <v>0</v>
      </c>
      <c r="M28" s="132">
        <f>K28*L28</f>
        <v>0</v>
      </c>
    </row>
    <row r="29" spans="1:13" x14ac:dyDescent="0.25">
      <c r="A29" s="129"/>
      <c r="B29" s="134"/>
      <c r="C29" s="131"/>
      <c r="D29" s="135"/>
      <c r="E29" s="132"/>
      <c r="F29" s="132"/>
      <c r="G29" s="133"/>
      <c r="H29" s="129"/>
      <c r="I29" s="134"/>
      <c r="J29" s="131"/>
      <c r="K29" s="135"/>
      <c r="L29" s="132"/>
      <c r="M29" s="132"/>
    </row>
    <row r="30" spans="1:13" x14ac:dyDescent="0.25">
      <c r="A30" s="129"/>
      <c r="B30" s="136"/>
      <c r="C30" s="131"/>
      <c r="D30" s="137"/>
      <c r="E30" s="148"/>
      <c r="F30" s="148"/>
      <c r="G30" s="133"/>
      <c r="H30" s="129"/>
      <c r="I30" s="136"/>
      <c r="J30" s="131"/>
      <c r="K30" s="137"/>
      <c r="L30" s="148"/>
      <c r="M30" s="148"/>
    </row>
    <row r="31" spans="1:13" x14ac:dyDescent="0.25">
      <c r="A31" s="270" t="s">
        <v>305</v>
      </c>
      <c r="B31" s="271"/>
      <c r="C31" s="271"/>
      <c r="D31" s="271"/>
      <c r="E31" s="272"/>
      <c r="F31" s="132">
        <f>F27+F28</f>
        <v>13.179264615384616</v>
      </c>
      <c r="G31" s="133"/>
      <c r="H31" s="270" t="s">
        <v>305</v>
      </c>
      <c r="I31" s="271"/>
      <c r="J31" s="271"/>
      <c r="K31" s="271"/>
      <c r="L31" s="272"/>
      <c r="M31" s="132">
        <f>M27+M28</f>
        <v>13.179264615384616</v>
      </c>
    </row>
    <row r="32" spans="1:13" x14ac:dyDescent="0.25">
      <c r="A32" s="283" t="s">
        <v>306</v>
      </c>
      <c r="B32" s="284"/>
      <c r="C32" s="284"/>
      <c r="D32" s="284"/>
      <c r="E32" s="284"/>
      <c r="F32" s="285"/>
      <c r="G32" s="133"/>
      <c r="H32" s="283" t="s">
        <v>306</v>
      </c>
      <c r="I32" s="284"/>
      <c r="J32" s="284"/>
      <c r="K32" s="284"/>
      <c r="L32" s="284"/>
      <c r="M32" s="285"/>
    </row>
    <row r="33" spans="1:13" x14ac:dyDescent="0.25">
      <c r="A33" s="129" t="s">
        <v>470</v>
      </c>
      <c r="B33" s="130"/>
      <c r="C33" s="131" t="s">
        <v>69</v>
      </c>
      <c r="D33" s="149">
        <v>0.2</v>
      </c>
      <c r="E33" s="132">
        <f>Cuadrillas!$K$355</f>
        <v>0</v>
      </c>
      <c r="F33" s="132">
        <f>D33*E33</f>
        <v>0</v>
      </c>
      <c r="G33" s="133"/>
      <c r="H33" s="129" t="s">
        <v>470</v>
      </c>
      <c r="I33" s="130"/>
      <c r="J33" s="131" t="s">
        <v>69</v>
      </c>
      <c r="K33" s="149">
        <v>0.2</v>
      </c>
      <c r="L33" s="132">
        <f>Cuadrillas!$K$355</f>
        <v>0</v>
      </c>
      <c r="M33" s="132">
        <f>K33*L33</f>
        <v>0</v>
      </c>
    </row>
    <row r="34" spans="1:13" x14ac:dyDescent="0.25">
      <c r="A34" s="266" t="s">
        <v>455</v>
      </c>
      <c r="B34" s="267"/>
      <c r="C34" s="131" t="s">
        <v>69</v>
      </c>
      <c r="D34" s="149">
        <f>0.0235*10</f>
        <v>0.23499999999999999</v>
      </c>
      <c r="E34" s="132">
        <f>Cuadrillas!$E$18</f>
        <v>0</v>
      </c>
      <c r="F34" s="132">
        <f>D34*E34</f>
        <v>0</v>
      </c>
      <c r="G34" s="133"/>
      <c r="H34" s="266" t="s">
        <v>455</v>
      </c>
      <c r="I34" s="267"/>
      <c r="J34" s="131" t="s">
        <v>69</v>
      </c>
      <c r="K34" s="149">
        <f>0.0235*10</f>
        <v>0.23499999999999999</v>
      </c>
      <c r="L34" s="132">
        <f>Cuadrillas!$E$18</f>
        <v>0</v>
      </c>
      <c r="M34" s="132">
        <f>K34*L34</f>
        <v>0</v>
      </c>
    </row>
    <row r="35" spans="1:13" x14ac:dyDescent="0.25">
      <c r="A35" s="138" t="s">
        <v>471</v>
      </c>
      <c r="B35" s="130"/>
      <c r="C35" s="130" t="s">
        <v>369</v>
      </c>
      <c r="D35" s="149">
        <v>0.8</v>
      </c>
      <c r="E35" s="132">
        <f>Equipo!$I$114</f>
        <v>20.931172881355934</v>
      </c>
      <c r="F35" s="132">
        <f>D35*E35</f>
        <v>16.744938305084748</v>
      </c>
      <c r="G35" s="139"/>
      <c r="H35" s="138" t="s">
        <v>471</v>
      </c>
      <c r="I35" s="130"/>
      <c r="J35" s="130" t="s">
        <v>369</v>
      </c>
      <c r="K35" s="149">
        <v>0.8</v>
      </c>
      <c r="L35" s="132">
        <f>Equipo!$I$114</f>
        <v>20.931172881355934</v>
      </c>
      <c r="M35" s="132">
        <f>K35*L35</f>
        <v>16.744938305084748</v>
      </c>
    </row>
    <row r="36" spans="1:13" x14ac:dyDescent="0.25">
      <c r="A36" s="270" t="s">
        <v>305</v>
      </c>
      <c r="B36" s="271"/>
      <c r="C36" s="271"/>
      <c r="D36" s="271"/>
      <c r="E36" s="272"/>
      <c r="F36" s="132">
        <f>F33+F34+F35</f>
        <v>16.744938305084748</v>
      </c>
      <c r="G36" s="139"/>
      <c r="H36" s="270" t="s">
        <v>305</v>
      </c>
      <c r="I36" s="271"/>
      <c r="J36" s="271"/>
      <c r="K36" s="271"/>
      <c r="L36" s="272"/>
      <c r="M36" s="132">
        <f>M33+M34+M35</f>
        <v>16.744938305084748</v>
      </c>
    </row>
    <row r="37" spans="1:13" x14ac:dyDescent="0.25">
      <c r="A37" s="270" t="s">
        <v>307</v>
      </c>
      <c r="B37" s="271"/>
      <c r="C37" s="271"/>
      <c r="D37" s="271"/>
      <c r="E37" s="272"/>
      <c r="F37" s="132">
        <f>F31+F36</f>
        <v>29.924202920469362</v>
      </c>
      <c r="G37" s="133"/>
      <c r="H37" s="270" t="s">
        <v>307</v>
      </c>
      <c r="I37" s="271"/>
      <c r="J37" s="271"/>
      <c r="K37" s="271"/>
      <c r="L37" s="272"/>
      <c r="M37" s="132">
        <f>M31+M36</f>
        <v>29.924202920469362</v>
      </c>
    </row>
    <row r="38" spans="1:13" x14ac:dyDescent="0.25">
      <c r="A38" s="133"/>
      <c r="B38" s="133"/>
      <c r="C38" s="133"/>
      <c r="D38" s="133"/>
      <c r="E38" s="133"/>
      <c r="F38" s="133"/>
      <c r="G38" s="141"/>
      <c r="H38" s="133"/>
      <c r="I38" s="133"/>
      <c r="J38" s="133"/>
      <c r="K38" s="133"/>
      <c r="L38" s="133"/>
      <c r="M38" s="133"/>
    </row>
    <row r="39" spans="1:13" x14ac:dyDescent="0.25">
      <c r="A39" s="133"/>
      <c r="B39" s="133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</row>
    <row r="40" spans="1:13" x14ac:dyDescent="0.25">
      <c r="A40" s="275" t="s">
        <v>431</v>
      </c>
      <c r="B40" s="275"/>
      <c r="C40" s="275"/>
      <c r="D40" s="275"/>
      <c r="E40" s="275"/>
      <c r="F40" s="275"/>
      <c r="G40" s="141"/>
      <c r="H40" s="275" t="s">
        <v>431</v>
      </c>
      <c r="I40" s="275"/>
      <c r="J40" s="275"/>
      <c r="K40" s="275"/>
      <c r="L40" s="275"/>
      <c r="M40" s="275"/>
    </row>
    <row r="41" spans="1:13" x14ac:dyDescent="0.25">
      <c r="A41" s="277" t="s">
        <v>483</v>
      </c>
      <c r="B41" s="278"/>
      <c r="C41" s="278"/>
      <c r="D41" s="278"/>
      <c r="E41" s="278"/>
      <c r="F41" s="279"/>
      <c r="G41" s="140"/>
      <c r="H41" s="277" t="s">
        <v>484</v>
      </c>
      <c r="I41" s="278"/>
      <c r="J41" s="278"/>
      <c r="K41" s="278"/>
      <c r="L41" s="278"/>
      <c r="M41" s="279"/>
    </row>
    <row r="42" spans="1:13" x14ac:dyDescent="0.25">
      <c r="A42" s="280" t="s">
        <v>469</v>
      </c>
      <c r="B42" s="281"/>
      <c r="C42" s="281"/>
      <c r="D42" s="281"/>
      <c r="E42" s="281"/>
      <c r="F42" s="282"/>
      <c r="G42" s="140"/>
      <c r="H42" s="280" t="s">
        <v>469</v>
      </c>
      <c r="I42" s="281"/>
      <c r="J42" s="281"/>
      <c r="K42" s="281"/>
      <c r="L42" s="281"/>
      <c r="M42" s="282"/>
    </row>
    <row r="43" spans="1:13" x14ac:dyDescent="0.25">
      <c r="A43" s="287" t="s">
        <v>355</v>
      </c>
      <c r="B43" s="288"/>
      <c r="C43" s="147" t="s">
        <v>292</v>
      </c>
      <c r="D43" s="128" t="s">
        <v>293</v>
      </c>
      <c r="E43" s="128" t="s">
        <v>294</v>
      </c>
      <c r="F43" s="128" t="s">
        <v>295</v>
      </c>
      <c r="G43" s="133"/>
      <c r="H43" s="287" t="s">
        <v>355</v>
      </c>
      <c r="I43" s="288"/>
      <c r="J43" s="147" t="s">
        <v>292</v>
      </c>
      <c r="K43" s="128" t="s">
        <v>293</v>
      </c>
      <c r="L43" s="128" t="s">
        <v>294</v>
      </c>
      <c r="M43" s="128" t="s">
        <v>295</v>
      </c>
    </row>
    <row r="44" spans="1:13" x14ac:dyDescent="0.25">
      <c r="A44" s="129" t="s">
        <v>446</v>
      </c>
      <c r="B44" s="130" t="s">
        <v>436</v>
      </c>
      <c r="C44" s="131" t="s">
        <v>300</v>
      </c>
      <c r="D44" s="130">
        <f>1*1.05</f>
        <v>1.05</v>
      </c>
      <c r="E44" s="132">
        <f>'Conc. Imp'!F54</f>
        <v>12.551680586080586</v>
      </c>
      <c r="F44" s="132">
        <f>D44*E44</f>
        <v>13.179264615384616</v>
      </c>
      <c r="G44" s="133"/>
      <c r="H44" s="129" t="s">
        <v>447</v>
      </c>
      <c r="I44" s="130" t="s">
        <v>436</v>
      </c>
      <c r="J44" s="131" t="s">
        <v>300</v>
      </c>
      <c r="K44" s="130">
        <f>1*1.05</f>
        <v>1.05</v>
      </c>
      <c r="L44" s="132">
        <f>'Conc. Imp'!M54</f>
        <v>12.551680586080586</v>
      </c>
      <c r="M44" s="132">
        <f>K44*L44</f>
        <v>13.179264615384616</v>
      </c>
    </row>
    <row r="45" spans="1:13" x14ac:dyDescent="0.25">
      <c r="A45" s="129" t="s">
        <v>287</v>
      </c>
      <c r="B45" s="130" t="s">
        <v>438</v>
      </c>
      <c r="C45" s="131" t="s">
        <v>300</v>
      </c>
      <c r="D45" s="130">
        <f>0.8*1.2</f>
        <v>0.96</v>
      </c>
      <c r="E45" s="132">
        <f>'Precios de Mat.'!$B$16</f>
        <v>0</v>
      </c>
      <c r="F45" s="132">
        <f>D45*E45</f>
        <v>0</v>
      </c>
      <c r="G45" s="133"/>
      <c r="H45" s="129" t="s">
        <v>287</v>
      </c>
      <c r="I45" s="130" t="s">
        <v>438</v>
      </c>
      <c r="J45" s="131" t="s">
        <v>300</v>
      </c>
      <c r="K45" s="130">
        <f>0.8*1.2</f>
        <v>0.96</v>
      </c>
      <c r="L45" s="132">
        <f>'Precios de Mat.'!$B$16</f>
        <v>0</v>
      </c>
      <c r="M45" s="132">
        <f>K45*L45</f>
        <v>0</v>
      </c>
    </row>
    <row r="46" spans="1:13" x14ac:dyDescent="0.25">
      <c r="A46" s="129"/>
      <c r="B46" s="134"/>
      <c r="C46" s="131"/>
      <c r="D46" s="135"/>
      <c r="E46" s="132"/>
      <c r="F46" s="132"/>
      <c r="G46" s="133"/>
      <c r="H46" s="129"/>
      <c r="I46" s="134"/>
      <c r="J46" s="131"/>
      <c r="K46" s="135"/>
      <c r="L46" s="132"/>
      <c r="M46" s="132"/>
    </row>
    <row r="47" spans="1:13" x14ac:dyDescent="0.25">
      <c r="A47" s="129"/>
      <c r="B47" s="136"/>
      <c r="C47" s="131"/>
      <c r="D47" s="137"/>
      <c r="E47" s="148"/>
      <c r="F47" s="148"/>
      <c r="G47" s="133"/>
      <c r="H47" s="129"/>
      <c r="I47" s="136"/>
      <c r="J47" s="131"/>
      <c r="K47" s="137"/>
      <c r="L47" s="148"/>
      <c r="M47" s="148"/>
    </row>
    <row r="48" spans="1:13" x14ac:dyDescent="0.25">
      <c r="A48" s="270" t="s">
        <v>305</v>
      </c>
      <c r="B48" s="271"/>
      <c r="C48" s="271"/>
      <c r="D48" s="271"/>
      <c r="E48" s="272"/>
      <c r="F48" s="132">
        <f>F44+F45</f>
        <v>13.179264615384616</v>
      </c>
      <c r="G48" s="133"/>
      <c r="H48" s="270" t="s">
        <v>305</v>
      </c>
      <c r="I48" s="271"/>
      <c r="J48" s="271"/>
      <c r="K48" s="271"/>
      <c r="L48" s="272"/>
      <c r="M48" s="132">
        <f>M44+M45</f>
        <v>13.179264615384616</v>
      </c>
    </row>
    <row r="49" spans="1:13" x14ac:dyDescent="0.25">
      <c r="A49" s="283" t="s">
        <v>306</v>
      </c>
      <c r="B49" s="284"/>
      <c r="C49" s="284"/>
      <c r="D49" s="284"/>
      <c r="E49" s="284"/>
      <c r="F49" s="285"/>
      <c r="G49" s="133"/>
      <c r="H49" s="283" t="s">
        <v>306</v>
      </c>
      <c r="I49" s="284"/>
      <c r="J49" s="284"/>
      <c r="K49" s="284"/>
      <c r="L49" s="284"/>
      <c r="M49" s="285"/>
    </row>
    <row r="50" spans="1:13" x14ac:dyDescent="0.25">
      <c r="A50" s="129" t="s">
        <v>470</v>
      </c>
      <c r="B50" s="130"/>
      <c r="C50" s="131" t="s">
        <v>69</v>
      </c>
      <c r="D50" s="149">
        <v>0.2</v>
      </c>
      <c r="E50" s="132">
        <f>Cuadrillas!$K$355</f>
        <v>0</v>
      </c>
      <c r="F50" s="132">
        <f>D50*E50</f>
        <v>0</v>
      </c>
      <c r="G50" s="133"/>
      <c r="H50" s="129" t="s">
        <v>470</v>
      </c>
      <c r="I50" s="130"/>
      <c r="J50" s="131" t="s">
        <v>69</v>
      </c>
      <c r="K50" s="149">
        <v>0.2</v>
      </c>
      <c r="L50" s="132">
        <f>Cuadrillas!$K$355</f>
        <v>0</v>
      </c>
      <c r="M50" s="132">
        <f>K50*L50</f>
        <v>0</v>
      </c>
    </row>
    <row r="51" spans="1:13" x14ac:dyDescent="0.25">
      <c r="A51" s="266" t="s">
        <v>455</v>
      </c>
      <c r="B51" s="267"/>
      <c r="C51" s="131" t="s">
        <v>69</v>
      </c>
      <c r="D51" s="149">
        <f>0.0235*10</f>
        <v>0.23499999999999999</v>
      </c>
      <c r="E51" s="132">
        <f>Cuadrillas!$E$18</f>
        <v>0</v>
      </c>
      <c r="F51" s="132">
        <f>D51*E51</f>
        <v>0</v>
      </c>
      <c r="G51" s="133"/>
      <c r="H51" s="266" t="s">
        <v>455</v>
      </c>
      <c r="I51" s="267"/>
      <c r="J51" s="131" t="s">
        <v>69</v>
      </c>
      <c r="K51" s="149">
        <f>0.0235*10</f>
        <v>0.23499999999999999</v>
      </c>
      <c r="L51" s="132">
        <f>Cuadrillas!$E$18</f>
        <v>0</v>
      </c>
      <c r="M51" s="132">
        <f>K51*L51</f>
        <v>0</v>
      </c>
    </row>
    <row r="52" spans="1:13" x14ac:dyDescent="0.25">
      <c r="A52" s="138" t="s">
        <v>471</v>
      </c>
      <c r="B52" s="130"/>
      <c r="C52" s="130" t="s">
        <v>369</v>
      </c>
      <c r="D52" s="149">
        <v>0.8</v>
      </c>
      <c r="E52" s="132">
        <f>Equipo!$I$114</f>
        <v>20.931172881355934</v>
      </c>
      <c r="F52" s="132">
        <f>D52*E52</f>
        <v>16.744938305084748</v>
      </c>
      <c r="G52" s="139"/>
      <c r="H52" s="138" t="s">
        <v>471</v>
      </c>
      <c r="I52" s="130"/>
      <c r="J52" s="130" t="s">
        <v>369</v>
      </c>
      <c r="K52" s="149">
        <v>0.8</v>
      </c>
      <c r="L52" s="132">
        <f>Equipo!$I$114</f>
        <v>20.931172881355934</v>
      </c>
      <c r="M52" s="132">
        <f>K52*L52</f>
        <v>16.744938305084748</v>
      </c>
    </row>
    <row r="53" spans="1:13" x14ac:dyDescent="0.25">
      <c r="A53" s="270" t="s">
        <v>305</v>
      </c>
      <c r="B53" s="271"/>
      <c r="C53" s="271"/>
      <c r="D53" s="271"/>
      <c r="E53" s="272"/>
      <c r="F53" s="132">
        <f>F50+F51+F52</f>
        <v>16.744938305084748</v>
      </c>
      <c r="G53" s="139"/>
      <c r="H53" s="270" t="s">
        <v>305</v>
      </c>
      <c r="I53" s="271"/>
      <c r="J53" s="271"/>
      <c r="K53" s="271"/>
      <c r="L53" s="272"/>
      <c r="M53" s="132">
        <f>M50+M51+M52</f>
        <v>16.744938305084748</v>
      </c>
    </row>
    <row r="54" spans="1:13" x14ac:dyDescent="0.25">
      <c r="A54" s="270" t="s">
        <v>307</v>
      </c>
      <c r="B54" s="271"/>
      <c r="C54" s="271"/>
      <c r="D54" s="271"/>
      <c r="E54" s="272"/>
      <c r="F54" s="132">
        <f>F48+F53</f>
        <v>29.924202920469362</v>
      </c>
      <c r="G54" s="133"/>
      <c r="H54" s="270" t="s">
        <v>307</v>
      </c>
      <c r="I54" s="271"/>
      <c r="J54" s="271"/>
      <c r="K54" s="271"/>
      <c r="L54" s="272"/>
      <c r="M54" s="132">
        <f>M48+M53</f>
        <v>29.924202920469362</v>
      </c>
    </row>
    <row r="55" spans="1:13" x14ac:dyDescent="0.25">
      <c r="A55" s="133"/>
      <c r="B55" s="133"/>
      <c r="C55" s="133"/>
      <c r="D55" s="133"/>
      <c r="E55" s="133"/>
      <c r="F55" s="133"/>
      <c r="G55" s="141"/>
      <c r="H55" s="133"/>
      <c r="I55" s="133"/>
      <c r="J55" s="133"/>
      <c r="K55" s="133"/>
      <c r="L55" s="133"/>
      <c r="M55" s="133"/>
    </row>
    <row r="56" spans="1:13" x14ac:dyDescent="0.2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x14ac:dyDescent="0.25">
      <c r="A57" s="275" t="s">
        <v>431</v>
      </c>
      <c r="B57" s="275"/>
      <c r="C57" s="275"/>
      <c r="D57" s="275"/>
      <c r="E57" s="275"/>
      <c r="F57" s="275"/>
      <c r="G57" s="133"/>
      <c r="H57" s="275" t="s">
        <v>431</v>
      </c>
      <c r="I57" s="275"/>
      <c r="J57" s="275"/>
      <c r="K57" s="275"/>
      <c r="L57" s="275"/>
      <c r="M57" s="275"/>
    </row>
    <row r="58" spans="1:13" x14ac:dyDescent="0.25">
      <c r="A58" s="277" t="s">
        <v>485</v>
      </c>
      <c r="B58" s="278"/>
      <c r="C58" s="278"/>
      <c r="D58" s="278"/>
      <c r="E58" s="278"/>
      <c r="F58" s="279"/>
      <c r="G58" s="140"/>
      <c r="H58" s="277" t="s">
        <v>486</v>
      </c>
      <c r="I58" s="278"/>
      <c r="J58" s="278"/>
      <c r="K58" s="278"/>
      <c r="L58" s="278"/>
      <c r="M58" s="279"/>
    </row>
    <row r="59" spans="1:13" x14ac:dyDescent="0.25">
      <c r="A59" s="280" t="s">
        <v>469</v>
      </c>
      <c r="B59" s="281"/>
      <c r="C59" s="281"/>
      <c r="D59" s="281"/>
      <c r="E59" s="281"/>
      <c r="F59" s="282"/>
      <c r="G59" s="140"/>
      <c r="H59" s="280" t="s">
        <v>469</v>
      </c>
      <c r="I59" s="281"/>
      <c r="J59" s="281"/>
      <c r="K59" s="281"/>
      <c r="L59" s="281"/>
      <c r="M59" s="282"/>
    </row>
    <row r="60" spans="1:13" x14ac:dyDescent="0.25">
      <c r="A60" s="287" t="s">
        <v>355</v>
      </c>
      <c r="B60" s="288"/>
      <c r="C60" s="147" t="s">
        <v>292</v>
      </c>
      <c r="D60" s="128" t="s">
        <v>293</v>
      </c>
      <c r="E60" s="128" t="s">
        <v>294</v>
      </c>
      <c r="F60" s="128" t="s">
        <v>295</v>
      </c>
      <c r="G60" s="133"/>
      <c r="H60" s="287" t="s">
        <v>355</v>
      </c>
      <c r="I60" s="288"/>
      <c r="J60" s="147" t="s">
        <v>292</v>
      </c>
      <c r="K60" s="128" t="s">
        <v>293</v>
      </c>
      <c r="L60" s="128" t="s">
        <v>294</v>
      </c>
      <c r="M60" s="128" t="s">
        <v>295</v>
      </c>
    </row>
    <row r="61" spans="1:13" x14ac:dyDescent="0.25">
      <c r="A61" s="129" t="s">
        <v>450</v>
      </c>
      <c r="B61" s="130" t="s">
        <v>436</v>
      </c>
      <c r="C61" s="131" t="s">
        <v>300</v>
      </c>
      <c r="D61" s="130">
        <f>1*1.05</f>
        <v>1.05</v>
      </c>
      <c r="E61" s="132">
        <f>'Conc. Imp'!F71</f>
        <v>12.551680586080586</v>
      </c>
      <c r="F61" s="132">
        <f>D61*E61</f>
        <v>13.179264615384616</v>
      </c>
      <c r="G61" s="133"/>
      <c r="H61" s="129" t="s">
        <v>451</v>
      </c>
      <c r="I61" s="130" t="s">
        <v>436</v>
      </c>
      <c r="J61" s="131" t="s">
        <v>300</v>
      </c>
      <c r="K61" s="130">
        <f>1*1.05</f>
        <v>1.05</v>
      </c>
      <c r="L61" s="132">
        <f>'Conc. Imp'!M71</f>
        <v>12.551680586080586</v>
      </c>
      <c r="M61" s="132">
        <f>K61*L61</f>
        <v>13.179264615384616</v>
      </c>
    </row>
    <row r="62" spans="1:13" x14ac:dyDescent="0.25">
      <c r="A62" s="129" t="s">
        <v>287</v>
      </c>
      <c r="B62" s="130" t="s">
        <v>438</v>
      </c>
      <c r="C62" s="131" t="s">
        <v>300</v>
      </c>
      <c r="D62" s="130">
        <f>0.8*1.2</f>
        <v>0.96</v>
      </c>
      <c r="E62" s="132">
        <f>'Precios de Mat.'!$B$16</f>
        <v>0</v>
      </c>
      <c r="F62" s="132">
        <f>D62*E62</f>
        <v>0</v>
      </c>
      <c r="G62" s="133"/>
      <c r="H62" s="129" t="s">
        <v>287</v>
      </c>
      <c r="I62" s="130" t="s">
        <v>438</v>
      </c>
      <c r="J62" s="131" t="s">
        <v>300</v>
      </c>
      <c r="K62" s="130">
        <f>0.8*1.2</f>
        <v>0.96</v>
      </c>
      <c r="L62" s="132">
        <f>'Precios de Mat.'!$B$16</f>
        <v>0</v>
      </c>
      <c r="M62" s="132">
        <f>K62*L62</f>
        <v>0</v>
      </c>
    </row>
    <row r="63" spans="1:13" x14ac:dyDescent="0.25">
      <c r="A63" s="129"/>
      <c r="B63" s="134"/>
      <c r="C63" s="131"/>
      <c r="D63" s="135"/>
      <c r="E63" s="132"/>
      <c r="F63" s="132"/>
      <c r="G63" s="133"/>
      <c r="H63" s="129"/>
      <c r="I63" s="134"/>
      <c r="J63" s="131"/>
      <c r="K63" s="135"/>
      <c r="L63" s="132"/>
      <c r="M63" s="132"/>
    </row>
    <row r="64" spans="1:13" x14ac:dyDescent="0.25">
      <c r="A64" s="129"/>
      <c r="B64" s="136"/>
      <c r="C64" s="131"/>
      <c r="D64" s="137"/>
      <c r="E64" s="148"/>
      <c r="F64" s="148"/>
      <c r="G64" s="133"/>
      <c r="H64" s="129"/>
      <c r="I64" s="136"/>
      <c r="J64" s="131"/>
      <c r="K64" s="137"/>
      <c r="L64" s="148"/>
      <c r="M64" s="148"/>
    </row>
    <row r="65" spans="1:13" x14ac:dyDescent="0.25">
      <c r="A65" s="270" t="s">
        <v>305</v>
      </c>
      <c r="B65" s="271"/>
      <c r="C65" s="271"/>
      <c r="D65" s="271"/>
      <c r="E65" s="272"/>
      <c r="F65" s="132">
        <f>F61+F62</f>
        <v>13.179264615384616</v>
      </c>
      <c r="G65" s="133"/>
      <c r="H65" s="270" t="s">
        <v>305</v>
      </c>
      <c r="I65" s="271"/>
      <c r="J65" s="271"/>
      <c r="K65" s="271"/>
      <c r="L65" s="272"/>
      <c r="M65" s="132">
        <f>M61+M62</f>
        <v>13.179264615384616</v>
      </c>
    </row>
    <row r="66" spans="1:13" x14ac:dyDescent="0.25">
      <c r="A66" s="283" t="s">
        <v>306</v>
      </c>
      <c r="B66" s="284"/>
      <c r="C66" s="284"/>
      <c r="D66" s="284"/>
      <c r="E66" s="284"/>
      <c r="F66" s="285"/>
      <c r="G66" s="133"/>
      <c r="H66" s="283" t="s">
        <v>306</v>
      </c>
      <c r="I66" s="284"/>
      <c r="J66" s="284"/>
      <c r="K66" s="284"/>
      <c r="L66" s="284"/>
      <c r="M66" s="285"/>
    </row>
    <row r="67" spans="1:13" x14ac:dyDescent="0.25">
      <c r="A67" s="129" t="s">
        <v>470</v>
      </c>
      <c r="B67" s="130"/>
      <c r="C67" s="131" t="s">
        <v>69</v>
      </c>
      <c r="D67" s="149">
        <v>0.2</v>
      </c>
      <c r="E67" s="132">
        <f>Cuadrillas!$K$355</f>
        <v>0</v>
      </c>
      <c r="F67" s="132">
        <f>D67*E67</f>
        <v>0</v>
      </c>
      <c r="G67" s="133"/>
      <c r="H67" s="129" t="s">
        <v>470</v>
      </c>
      <c r="I67" s="130"/>
      <c r="J67" s="131" t="s">
        <v>69</v>
      </c>
      <c r="K67" s="149">
        <v>0.2</v>
      </c>
      <c r="L67" s="132">
        <f>Cuadrillas!$K$355</f>
        <v>0</v>
      </c>
      <c r="M67" s="132">
        <f>K67*L67</f>
        <v>0</v>
      </c>
    </row>
    <row r="68" spans="1:13" x14ac:dyDescent="0.25">
      <c r="A68" s="266" t="s">
        <v>455</v>
      </c>
      <c r="B68" s="267"/>
      <c r="C68" s="131" t="s">
        <v>69</v>
      </c>
      <c r="D68" s="149">
        <f>0.0235*10</f>
        <v>0.23499999999999999</v>
      </c>
      <c r="E68" s="132">
        <f>Cuadrillas!$E$18</f>
        <v>0</v>
      </c>
      <c r="F68" s="132">
        <f>D68*E68</f>
        <v>0</v>
      </c>
      <c r="G68" s="133"/>
      <c r="H68" s="266" t="s">
        <v>455</v>
      </c>
      <c r="I68" s="267"/>
      <c r="J68" s="131" t="s">
        <v>69</v>
      </c>
      <c r="K68" s="149">
        <f>0.0235*10</f>
        <v>0.23499999999999999</v>
      </c>
      <c r="L68" s="132">
        <f>Cuadrillas!$E$18</f>
        <v>0</v>
      </c>
      <c r="M68" s="132">
        <f>K68*L68</f>
        <v>0</v>
      </c>
    </row>
    <row r="69" spans="1:13" x14ac:dyDescent="0.25">
      <c r="A69" s="138" t="s">
        <v>471</v>
      </c>
      <c r="B69" s="130"/>
      <c r="C69" s="130" t="s">
        <v>369</v>
      </c>
      <c r="D69" s="149">
        <v>0.8</v>
      </c>
      <c r="E69" s="132">
        <f>Equipo!$I$114</f>
        <v>20.931172881355934</v>
      </c>
      <c r="F69" s="132">
        <f>D69*E69</f>
        <v>16.744938305084748</v>
      </c>
      <c r="G69" s="139"/>
      <c r="H69" s="138" t="s">
        <v>471</v>
      </c>
      <c r="I69" s="130"/>
      <c r="J69" s="130" t="s">
        <v>369</v>
      </c>
      <c r="K69" s="149">
        <v>0.8</v>
      </c>
      <c r="L69" s="132">
        <f>Equipo!$I$114</f>
        <v>20.931172881355934</v>
      </c>
      <c r="M69" s="132">
        <f>K69*L69</f>
        <v>16.744938305084748</v>
      </c>
    </row>
    <row r="70" spans="1:13" x14ac:dyDescent="0.25">
      <c r="A70" s="270" t="s">
        <v>305</v>
      </c>
      <c r="B70" s="271"/>
      <c r="C70" s="271"/>
      <c r="D70" s="271"/>
      <c r="E70" s="272"/>
      <c r="F70" s="132">
        <f>F67+F68+F69</f>
        <v>16.744938305084748</v>
      </c>
      <c r="G70" s="139"/>
      <c r="H70" s="270" t="s">
        <v>305</v>
      </c>
      <c r="I70" s="271"/>
      <c r="J70" s="271"/>
      <c r="K70" s="271"/>
      <c r="L70" s="272"/>
      <c r="M70" s="132">
        <f>M67+M68+M69</f>
        <v>16.744938305084748</v>
      </c>
    </row>
    <row r="71" spans="1:13" x14ac:dyDescent="0.25">
      <c r="A71" s="270" t="s">
        <v>307</v>
      </c>
      <c r="B71" s="271"/>
      <c r="C71" s="271"/>
      <c r="D71" s="271"/>
      <c r="E71" s="272"/>
      <c r="F71" s="132">
        <f>F65+F70</f>
        <v>29.924202920469362</v>
      </c>
      <c r="G71" s="133"/>
      <c r="H71" s="270" t="s">
        <v>307</v>
      </c>
      <c r="I71" s="271"/>
      <c r="J71" s="271"/>
      <c r="K71" s="271"/>
      <c r="L71" s="272"/>
      <c r="M71" s="132">
        <f>M65+M70</f>
        <v>29.924202920469362</v>
      </c>
    </row>
    <row r="72" spans="1:13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3" x14ac:dyDescent="0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3" x14ac:dyDescent="0.25">
      <c r="A74" s="275" t="s">
        <v>431</v>
      </c>
      <c r="B74" s="275"/>
      <c r="C74" s="275"/>
      <c r="D74" s="275"/>
      <c r="E74" s="275"/>
      <c r="F74" s="275"/>
      <c r="G74" s="141"/>
      <c r="H74" s="141"/>
      <c r="I74" s="141"/>
      <c r="J74" s="141"/>
      <c r="K74" s="141"/>
      <c r="L74" s="141"/>
      <c r="M74" s="141"/>
    </row>
    <row r="75" spans="1:13" x14ac:dyDescent="0.25">
      <c r="A75" s="277" t="s">
        <v>487</v>
      </c>
      <c r="B75" s="278"/>
      <c r="C75" s="278"/>
      <c r="D75" s="278"/>
      <c r="E75" s="278"/>
      <c r="F75" s="279"/>
      <c r="G75" s="141"/>
      <c r="H75" s="141"/>
      <c r="I75" s="141"/>
      <c r="J75" s="141"/>
      <c r="K75" s="141"/>
      <c r="L75" s="141"/>
      <c r="M75" s="141"/>
    </row>
    <row r="76" spans="1:13" x14ac:dyDescent="0.25">
      <c r="A76" s="280" t="s">
        <v>469</v>
      </c>
      <c r="B76" s="281"/>
      <c r="C76" s="281"/>
      <c r="D76" s="281"/>
      <c r="E76" s="281"/>
      <c r="F76" s="282"/>
      <c r="G76" s="141"/>
      <c r="H76" s="141"/>
      <c r="I76" s="141"/>
      <c r="J76" s="141"/>
      <c r="K76" s="141"/>
      <c r="L76" s="141"/>
      <c r="M76" s="141"/>
    </row>
    <row r="77" spans="1:13" x14ac:dyDescent="0.25">
      <c r="A77" s="287" t="s">
        <v>355</v>
      </c>
      <c r="B77" s="288"/>
      <c r="C77" s="147" t="s">
        <v>292</v>
      </c>
      <c r="D77" s="128" t="s">
        <v>293</v>
      </c>
      <c r="E77" s="128" t="s">
        <v>294</v>
      </c>
      <c r="F77" s="128" t="s">
        <v>295</v>
      </c>
      <c r="G77" s="141"/>
      <c r="H77" s="141"/>
      <c r="I77" s="141"/>
      <c r="J77" s="141"/>
      <c r="K77" s="141"/>
      <c r="L77" s="141"/>
      <c r="M77" s="141"/>
    </row>
    <row r="78" spans="1:13" x14ac:dyDescent="0.25">
      <c r="A78" s="129" t="s">
        <v>453</v>
      </c>
      <c r="B78" s="130" t="s">
        <v>436</v>
      </c>
      <c r="C78" s="131" t="s">
        <v>300</v>
      </c>
      <c r="D78" s="130">
        <f>1*1.05</f>
        <v>1.05</v>
      </c>
      <c r="E78" s="132">
        <f>'Conc. Imp'!F88</f>
        <v>12.551680586080586</v>
      </c>
      <c r="F78" s="132">
        <f>D78*E78</f>
        <v>13.179264615384616</v>
      </c>
      <c r="G78" s="141"/>
      <c r="H78" s="141"/>
      <c r="I78" s="141"/>
      <c r="J78" s="141"/>
      <c r="K78" s="141"/>
      <c r="L78" s="141"/>
      <c r="M78" s="141"/>
    </row>
    <row r="79" spans="1:13" x14ac:dyDescent="0.25">
      <c r="A79" s="129" t="s">
        <v>287</v>
      </c>
      <c r="B79" s="130" t="s">
        <v>438</v>
      </c>
      <c r="C79" s="131" t="s">
        <v>300</v>
      </c>
      <c r="D79" s="130">
        <f>0.8*1.2</f>
        <v>0.96</v>
      </c>
      <c r="E79" s="132">
        <f>'Precios de Mat.'!$B$16</f>
        <v>0</v>
      </c>
      <c r="F79" s="132">
        <f>D79*E79</f>
        <v>0</v>
      </c>
      <c r="G79" s="141"/>
      <c r="H79" s="141"/>
      <c r="I79" s="141"/>
      <c r="J79" s="141"/>
      <c r="K79" s="141"/>
      <c r="L79" s="141"/>
      <c r="M79" s="141"/>
    </row>
    <row r="80" spans="1:13" x14ac:dyDescent="0.25">
      <c r="A80" s="129"/>
      <c r="B80" s="134"/>
      <c r="C80" s="131"/>
      <c r="D80" s="135"/>
      <c r="E80" s="132"/>
      <c r="F80" s="132"/>
      <c r="G80" s="141"/>
      <c r="H80" s="141"/>
      <c r="I80" s="141"/>
      <c r="J80" s="141"/>
      <c r="K80" s="141"/>
      <c r="L80" s="141"/>
      <c r="M80" s="141"/>
    </row>
    <row r="81" spans="1:13" x14ac:dyDescent="0.25">
      <c r="A81" s="129"/>
      <c r="B81" s="136"/>
      <c r="C81" s="131"/>
      <c r="D81" s="137"/>
      <c r="E81" s="148"/>
      <c r="F81" s="148"/>
      <c r="G81" s="141"/>
      <c r="H81" s="141"/>
      <c r="I81" s="141"/>
      <c r="J81" s="141"/>
      <c r="K81" s="141"/>
      <c r="L81" s="141"/>
      <c r="M81" s="141"/>
    </row>
    <row r="82" spans="1:13" x14ac:dyDescent="0.25">
      <c r="A82" s="270" t="s">
        <v>305</v>
      </c>
      <c r="B82" s="271"/>
      <c r="C82" s="271"/>
      <c r="D82" s="271"/>
      <c r="E82" s="272"/>
      <c r="F82" s="132">
        <f>F78+F79</f>
        <v>13.179264615384616</v>
      </c>
      <c r="G82" s="141"/>
      <c r="H82" s="141"/>
      <c r="I82" s="141"/>
      <c r="J82" s="141"/>
      <c r="K82" s="141"/>
      <c r="L82" s="141"/>
      <c r="M82" s="141"/>
    </row>
    <row r="83" spans="1:13" x14ac:dyDescent="0.25">
      <c r="A83" s="283" t="s">
        <v>306</v>
      </c>
      <c r="B83" s="284"/>
      <c r="C83" s="284"/>
      <c r="D83" s="284"/>
      <c r="E83" s="284"/>
      <c r="F83" s="285"/>
      <c r="G83" s="141"/>
      <c r="H83" s="141"/>
      <c r="I83" s="141"/>
      <c r="J83" s="141"/>
      <c r="K83" s="141"/>
      <c r="L83" s="141"/>
      <c r="M83" s="141"/>
    </row>
    <row r="84" spans="1:13" x14ac:dyDescent="0.25">
      <c r="A84" s="129" t="s">
        <v>470</v>
      </c>
      <c r="B84" s="130"/>
      <c r="C84" s="131" t="s">
        <v>69</v>
      </c>
      <c r="D84" s="149">
        <v>0.2</v>
      </c>
      <c r="E84" s="132">
        <f>Cuadrillas!$K$355</f>
        <v>0</v>
      </c>
      <c r="F84" s="132">
        <f>D84*E84</f>
        <v>0</v>
      </c>
      <c r="G84" s="141"/>
      <c r="H84" s="141"/>
      <c r="I84" s="141"/>
      <c r="J84" s="141"/>
      <c r="K84" s="141"/>
      <c r="L84" s="141"/>
      <c r="M84" s="141"/>
    </row>
    <row r="85" spans="1:13" x14ac:dyDescent="0.25">
      <c r="A85" s="266" t="s">
        <v>455</v>
      </c>
      <c r="B85" s="267"/>
      <c r="C85" s="131" t="s">
        <v>69</v>
      </c>
      <c r="D85" s="149">
        <f>0.0235*10</f>
        <v>0.23499999999999999</v>
      </c>
      <c r="E85" s="132">
        <f>Cuadrillas!$E$18</f>
        <v>0</v>
      </c>
      <c r="F85" s="132">
        <f>D85*E85</f>
        <v>0</v>
      </c>
      <c r="G85" s="141"/>
      <c r="H85" s="141"/>
      <c r="I85" s="141"/>
      <c r="J85" s="141"/>
      <c r="K85" s="141"/>
      <c r="L85" s="141"/>
      <c r="M85" s="141"/>
    </row>
    <row r="86" spans="1:13" x14ac:dyDescent="0.25">
      <c r="A86" s="138" t="s">
        <v>471</v>
      </c>
      <c r="B86" s="130"/>
      <c r="C86" s="130" t="s">
        <v>369</v>
      </c>
      <c r="D86" s="149">
        <v>0.8</v>
      </c>
      <c r="E86" s="132">
        <f>Equipo!$I$114</f>
        <v>20.931172881355934</v>
      </c>
      <c r="F86" s="132">
        <f>D86*E86</f>
        <v>16.744938305084748</v>
      </c>
      <c r="G86" s="141"/>
      <c r="H86" s="141"/>
      <c r="I86" s="141"/>
      <c r="J86" s="141"/>
      <c r="K86" s="141"/>
      <c r="L86" s="141"/>
      <c r="M86" s="141"/>
    </row>
    <row r="87" spans="1:13" x14ac:dyDescent="0.25">
      <c r="A87" s="270" t="s">
        <v>305</v>
      </c>
      <c r="B87" s="271"/>
      <c r="C87" s="271"/>
      <c r="D87" s="271"/>
      <c r="E87" s="272"/>
      <c r="F87" s="132">
        <f>F84+F85+F86</f>
        <v>16.744938305084748</v>
      </c>
      <c r="G87" s="141"/>
      <c r="H87" s="141"/>
      <c r="I87" s="141"/>
      <c r="J87" s="141"/>
      <c r="K87" s="141"/>
      <c r="L87" s="141"/>
      <c r="M87" s="141"/>
    </row>
    <row r="88" spans="1:13" x14ac:dyDescent="0.25">
      <c r="A88" s="270" t="s">
        <v>307</v>
      </c>
      <c r="B88" s="271"/>
      <c r="C88" s="271"/>
      <c r="D88" s="271"/>
      <c r="E88" s="272"/>
      <c r="F88" s="132">
        <f>F82+F87</f>
        <v>29.924202920469362</v>
      </c>
      <c r="G88" s="141"/>
      <c r="H88" s="141"/>
      <c r="I88" s="141"/>
      <c r="J88" s="141"/>
      <c r="K88" s="141"/>
      <c r="L88" s="141"/>
      <c r="M88" s="141"/>
    </row>
  </sheetData>
  <mergeCells count="85">
    <mergeCell ref="A14:E14"/>
    <mergeCell ref="H14:L14"/>
    <mergeCell ref="A15:F15"/>
    <mergeCell ref="H15:M15"/>
    <mergeCell ref="A36:E36"/>
    <mergeCell ref="H36:L36"/>
    <mergeCell ref="A37:E37"/>
    <mergeCell ref="H37:L37"/>
    <mergeCell ref="A40:F40"/>
    <mergeCell ref="H40:M40"/>
    <mergeCell ref="A53:E53"/>
    <mergeCell ref="H53:L53"/>
    <mergeCell ref="A51:B51"/>
    <mergeCell ref="H51:I51"/>
    <mergeCell ref="A41:F41"/>
    <mergeCell ref="H41:M41"/>
    <mergeCell ref="A42:F42"/>
    <mergeCell ref="H42:M42"/>
    <mergeCell ref="A43:B43"/>
    <mergeCell ref="H43:I43"/>
    <mergeCell ref="A60:B60"/>
    <mergeCell ref="H60:I60"/>
    <mergeCell ref="A57:F57"/>
    <mergeCell ref="H57:M57"/>
    <mergeCell ref="A58:F58"/>
    <mergeCell ref="H58:M58"/>
    <mergeCell ref="A59:F59"/>
    <mergeCell ref="H59:M59"/>
    <mergeCell ref="A88:E88"/>
    <mergeCell ref="A85:B85"/>
    <mergeCell ref="A70:E70"/>
    <mergeCell ref="H70:L70"/>
    <mergeCell ref="A71:E71"/>
    <mergeCell ref="H71:L71"/>
    <mergeCell ref="A74:F74"/>
    <mergeCell ref="A75:F75"/>
    <mergeCell ref="A76:F76"/>
    <mergeCell ref="A77:B77"/>
    <mergeCell ref="A82:E82"/>
    <mergeCell ref="A83:F83"/>
    <mergeCell ref="A87:E87"/>
    <mergeCell ref="A54:E54"/>
    <mergeCell ref="H54:L54"/>
    <mergeCell ref="A25:F25"/>
    <mergeCell ref="H25:M25"/>
    <mergeCell ref="A19:E19"/>
    <mergeCell ref="H19:L19"/>
    <mergeCell ref="A20:E20"/>
    <mergeCell ref="H20:L20"/>
    <mergeCell ref="A23:F23"/>
    <mergeCell ref="H23:M23"/>
    <mergeCell ref="A24:F24"/>
    <mergeCell ref="H24:M24"/>
    <mergeCell ref="A48:E48"/>
    <mergeCell ref="H48:L48"/>
    <mergeCell ref="A49:F49"/>
    <mergeCell ref="H49:M49"/>
    <mergeCell ref="A34:B34"/>
    <mergeCell ref="H34:I34"/>
    <mergeCell ref="A31:E31"/>
    <mergeCell ref="H31:L31"/>
    <mergeCell ref="A32:F32"/>
    <mergeCell ref="H32:M32"/>
    <mergeCell ref="A68:B68"/>
    <mergeCell ref="H68:I68"/>
    <mergeCell ref="A65:E65"/>
    <mergeCell ref="H65:L65"/>
    <mergeCell ref="A66:F66"/>
    <mergeCell ref="H66:M66"/>
    <mergeCell ref="A1:M1"/>
    <mergeCell ref="A2:M2"/>
    <mergeCell ref="A3:M3"/>
    <mergeCell ref="A4:M4"/>
    <mergeCell ref="A26:B26"/>
    <mergeCell ref="H26:I26"/>
    <mergeCell ref="A17:B17"/>
    <mergeCell ref="H17:I17"/>
    <mergeCell ref="A6:F6"/>
    <mergeCell ref="H6:M6"/>
    <mergeCell ref="A7:F7"/>
    <mergeCell ref="H7:M7"/>
    <mergeCell ref="A8:F8"/>
    <mergeCell ref="H8:M8"/>
    <mergeCell ref="A9:B9"/>
    <mergeCell ref="H9:I9"/>
  </mergeCells>
  <phoneticPr fontId="0" type="noConversion"/>
  <pageMargins left="0.75" right="0.75" top="0.14000000000000001" bottom="1" header="0" footer="0"/>
  <pageSetup scale="72" orientation="portrait" horizontalDpi="4294967293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M88"/>
  <sheetViews>
    <sheetView zoomScaleNormal="100" workbookViewId="0">
      <selection activeCell="H6" sqref="H6"/>
    </sheetView>
  </sheetViews>
  <sheetFormatPr baseColWidth="10" defaultRowHeight="13.2" x14ac:dyDescent="0.25"/>
  <cols>
    <col min="7" max="7" width="5.109375" customWidth="1"/>
  </cols>
  <sheetData>
    <row r="1" spans="1:13" ht="23.4" x14ac:dyDescent="0.25">
      <c r="A1" s="289" t="s">
        <v>559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</row>
    <row r="2" spans="1:13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x14ac:dyDescent="0.25">
      <c r="A3" s="200" t="s">
        <v>562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6" spans="1:13" x14ac:dyDescent="0.25">
      <c r="A6" s="143"/>
      <c r="B6" s="143"/>
      <c r="C6" s="143"/>
      <c r="D6" s="143"/>
      <c r="E6" s="143"/>
      <c r="F6" s="143"/>
      <c r="G6" s="126"/>
      <c r="H6" s="143"/>
      <c r="I6" s="143"/>
      <c r="J6" s="143"/>
      <c r="K6" s="143"/>
      <c r="L6" s="143"/>
      <c r="M6" s="143"/>
    </row>
    <row r="7" spans="1:13" x14ac:dyDescent="0.25">
      <c r="A7" s="277" t="s">
        <v>488</v>
      </c>
      <c r="B7" s="278"/>
      <c r="C7" s="278"/>
      <c r="D7" s="278"/>
      <c r="E7" s="278"/>
      <c r="F7" s="279"/>
      <c r="G7" s="127"/>
      <c r="H7" s="277" t="s">
        <v>488</v>
      </c>
      <c r="I7" s="278"/>
      <c r="J7" s="278"/>
      <c r="K7" s="278"/>
      <c r="L7" s="278"/>
      <c r="M7" s="279"/>
    </row>
    <row r="8" spans="1:13" x14ac:dyDescent="0.25">
      <c r="A8" s="280" t="s">
        <v>489</v>
      </c>
      <c r="B8" s="281"/>
      <c r="C8" s="281"/>
      <c r="D8" s="281"/>
      <c r="E8" s="281"/>
      <c r="F8" s="282"/>
      <c r="G8" s="127"/>
      <c r="H8" s="280" t="s">
        <v>490</v>
      </c>
      <c r="I8" s="281"/>
      <c r="J8" s="281"/>
      <c r="K8" s="281"/>
      <c r="L8" s="281"/>
      <c r="M8" s="282"/>
    </row>
    <row r="9" spans="1:13" x14ac:dyDescent="0.25">
      <c r="A9" s="268" t="s">
        <v>355</v>
      </c>
      <c r="B9" s="269"/>
      <c r="C9" s="128" t="s">
        <v>292</v>
      </c>
      <c r="D9" s="128" t="s">
        <v>293</v>
      </c>
      <c r="E9" s="128" t="s">
        <v>294</v>
      </c>
      <c r="F9" s="128" t="s">
        <v>295</v>
      </c>
      <c r="G9" s="126"/>
      <c r="H9" s="268" t="s">
        <v>355</v>
      </c>
      <c r="I9" s="269"/>
      <c r="J9" s="128" t="s">
        <v>292</v>
      </c>
      <c r="K9" s="128" t="s">
        <v>293</v>
      </c>
      <c r="L9" s="128" t="s">
        <v>294</v>
      </c>
      <c r="M9" s="128" t="s">
        <v>295</v>
      </c>
    </row>
    <row r="10" spans="1:13" x14ac:dyDescent="0.25">
      <c r="A10" s="129" t="s">
        <v>491</v>
      </c>
      <c r="B10" s="130" t="s">
        <v>492</v>
      </c>
      <c r="C10" s="131" t="s">
        <v>300</v>
      </c>
      <c r="D10" s="130">
        <f>1*1.04</f>
        <v>1.04</v>
      </c>
      <c r="E10" s="132">
        <f>'Precios de Mat.'!$B30</f>
        <v>0</v>
      </c>
      <c r="F10" s="132">
        <f>D10*E10</f>
        <v>0</v>
      </c>
      <c r="G10" s="133"/>
      <c r="H10" s="129" t="s">
        <v>493</v>
      </c>
      <c r="I10" s="130" t="s">
        <v>494</v>
      </c>
      <c r="J10" s="131" t="s">
        <v>300</v>
      </c>
      <c r="K10" s="130">
        <f>1*1.06</f>
        <v>1.06</v>
      </c>
      <c r="L10" s="132">
        <f>'Precios de Mat.'!B33</f>
        <v>0</v>
      </c>
      <c r="M10" s="132">
        <f>K10*L10</f>
        <v>0</v>
      </c>
    </row>
    <row r="11" spans="1:13" x14ac:dyDescent="0.25">
      <c r="A11" s="266" t="s">
        <v>534</v>
      </c>
      <c r="B11" s="267"/>
      <c r="C11" s="131" t="s">
        <v>300</v>
      </c>
      <c r="D11" s="130">
        <f>43*1.07</f>
        <v>46.010000000000005</v>
      </c>
      <c r="E11" s="132">
        <f>'Precios de Mat.'!$B$27</f>
        <v>0</v>
      </c>
      <c r="F11" s="132">
        <f>D11*E11</f>
        <v>0</v>
      </c>
      <c r="G11" s="133"/>
      <c r="H11" s="129" t="s">
        <v>495</v>
      </c>
      <c r="I11" s="130" t="s">
        <v>497</v>
      </c>
      <c r="J11" s="131" t="s">
        <v>300</v>
      </c>
      <c r="K11" s="130">
        <f>18*1.07</f>
        <v>19.260000000000002</v>
      </c>
      <c r="L11" s="132">
        <f>'Precios de Mat.'!$B$27</f>
        <v>0</v>
      </c>
      <c r="M11" s="132">
        <f>K11*L11</f>
        <v>0</v>
      </c>
    </row>
    <row r="12" spans="1:13" x14ac:dyDescent="0.25">
      <c r="A12" s="129"/>
      <c r="B12" s="134"/>
      <c r="C12" s="131"/>
      <c r="D12" s="135"/>
      <c r="E12" s="132"/>
      <c r="F12" s="132"/>
      <c r="G12" s="133"/>
      <c r="H12" s="129"/>
      <c r="I12" s="134"/>
      <c r="J12" s="131"/>
      <c r="K12" s="135"/>
      <c r="L12" s="132"/>
      <c r="M12" s="132"/>
    </row>
    <row r="13" spans="1:13" x14ac:dyDescent="0.25">
      <c r="A13" s="129"/>
      <c r="B13" s="136"/>
      <c r="C13" s="131"/>
      <c r="D13" s="137"/>
      <c r="E13" s="148"/>
      <c r="F13" s="132"/>
      <c r="G13" s="133"/>
      <c r="H13" s="129"/>
      <c r="I13" s="136"/>
      <c r="J13" s="131"/>
      <c r="K13" s="137"/>
      <c r="L13" s="148"/>
      <c r="M13" s="132"/>
    </row>
    <row r="14" spans="1:13" x14ac:dyDescent="0.25">
      <c r="A14" s="270" t="s">
        <v>305</v>
      </c>
      <c r="B14" s="271"/>
      <c r="C14" s="271"/>
      <c r="D14" s="271"/>
      <c r="E14" s="272"/>
      <c r="F14" s="132">
        <f>F10+F11</f>
        <v>0</v>
      </c>
      <c r="G14" s="133"/>
      <c r="H14" s="270" t="s">
        <v>305</v>
      </c>
      <c r="I14" s="271"/>
      <c r="J14" s="271"/>
      <c r="K14" s="271"/>
      <c r="L14" s="272"/>
      <c r="M14" s="132">
        <f>M10+M11</f>
        <v>0</v>
      </c>
    </row>
    <row r="15" spans="1:13" x14ac:dyDescent="0.25">
      <c r="A15" s="283" t="s">
        <v>306</v>
      </c>
      <c r="B15" s="284"/>
      <c r="C15" s="284"/>
      <c r="D15" s="284"/>
      <c r="E15" s="284"/>
      <c r="F15" s="285"/>
      <c r="G15" s="133"/>
      <c r="H15" s="283" t="s">
        <v>306</v>
      </c>
      <c r="I15" s="284"/>
      <c r="J15" s="284"/>
      <c r="K15" s="284"/>
      <c r="L15" s="284"/>
      <c r="M15" s="285"/>
    </row>
    <row r="16" spans="1:13" x14ac:dyDescent="0.25">
      <c r="A16" s="129" t="s">
        <v>519</v>
      </c>
      <c r="B16" s="130"/>
      <c r="C16" s="131" t="s">
        <v>69</v>
      </c>
      <c r="D16" s="149">
        <f>1/0.15</f>
        <v>6.666666666666667</v>
      </c>
      <c r="E16" s="132">
        <f>Cuadrillas!$E$201</f>
        <v>0</v>
      </c>
      <c r="F16" s="132">
        <f>D16*E16</f>
        <v>0</v>
      </c>
      <c r="G16" s="133"/>
      <c r="H16" s="129" t="s">
        <v>535</v>
      </c>
      <c r="I16" s="130"/>
      <c r="J16" s="131" t="s">
        <v>69</v>
      </c>
      <c r="K16" s="142">
        <f>1/0.2</f>
        <v>5</v>
      </c>
      <c r="L16" s="132">
        <v>332.82</v>
      </c>
      <c r="M16" s="132">
        <f>K16*L16</f>
        <v>1664.1</v>
      </c>
    </row>
    <row r="17" spans="1:13" x14ac:dyDescent="0.25">
      <c r="A17" s="138"/>
      <c r="B17" s="130"/>
      <c r="C17" s="151"/>
      <c r="D17" s="130"/>
      <c r="E17" s="132"/>
      <c r="F17" s="132"/>
      <c r="G17" s="133"/>
      <c r="H17" s="138"/>
      <c r="I17" s="130"/>
      <c r="J17" s="151"/>
      <c r="K17" s="130"/>
      <c r="L17" s="132"/>
      <c r="M17" s="132"/>
    </row>
    <row r="18" spans="1:13" x14ac:dyDescent="0.25">
      <c r="A18" s="138"/>
      <c r="B18" s="130"/>
      <c r="C18" s="151"/>
      <c r="D18" s="130"/>
      <c r="E18" s="132"/>
      <c r="F18" s="132"/>
      <c r="G18" s="139"/>
      <c r="H18" s="138"/>
      <c r="I18" s="130"/>
      <c r="J18" s="151"/>
      <c r="K18" s="130"/>
      <c r="L18" s="132"/>
      <c r="M18" s="132"/>
    </row>
    <row r="19" spans="1:13" x14ac:dyDescent="0.25">
      <c r="A19" s="270" t="s">
        <v>305</v>
      </c>
      <c r="B19" s="271"/>
      <c r="C19" s="271"/>
      <c r="D19" s="271"/>
      <c r="E19" s="272"/>
      <c r="F19" s="132">
        <f>F16+F17+F18</f>
        <v>0</v>
      </c>
      <c r="G19" s="139"/>
      <c r="H19" s="270" t="s">
        <v>305</v>
      </c>
      <c r="I19" s="271"/>
      <c r="J19" s="271"/>
      <c r="K19" s="271"/>
      <c r="L19" s="272"/>
      <c r="M19" s="132">
        <f>M16+M17+M18</f>
        <v>1664.1</v>
      </c>
    </row>
    <row r="20" spans="1:13" x14ac:dyDescent="0.25">
      <c r="A20" s="273" t="s">
        <v>307</v>
      </c>
      <c r="B20" s="274"/>
      <c r="C20" s="271"/>
      <c r="D20" s="271"/>
      <c r="E20" s="272"/>
      <c r="F20" s="132">
        <f>F14+F19</f>
        <v>0</v>
      </c>
      <c r="G20" s="133"/>
      <c r="H20" s="273" t="s">
        <v>307</v>
      </c>
      <c r="I20" s="274"/>
      <c r="J20" s="271"/>
      <c r="K20" s="271"/>
      <c r="L20" s="272"/>
      <c r="M20" s="132">
        <f>M14+M19</f>
        <v>1664.1</v>
      </c>
    </row>
    <row r="21" spans="1:13" x14ac:dyDescent="0.25">
      <c r="A21" s="133"/>
      <c r="B21" s="133"/>
      <c r="C21" s="140"/>
      <c r="D21" s="140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x14ac:dyDescent="0.25">
      <c r="A22" s="133"/>
      <c r="B22" s="133"/>
      <c r="C22" s="140"/>
      <c r="D22" s="140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x14ac:dyDescent="0.25">
      <c r="A23" s="144"/>
      <c r="B23" s="144"/>
      <c r="C23" s="145"/>
      <c r="D23" s="145"/>
      <c r="E23" s="144"/>
      <c r="F23" s="144"/>
      <c r="G23" s="133"/>
      <c r="H23" s="144"/>
      <c r="I23" s="144"/>
      <c r="J23" s="144"/>
      <c r="K23" s="144"/>
      <c r="L23" s="144"/>
      <c r="M23" s="144"/>
    </row>
    <row r="24" spans="1:13" x14ac:dyDescent="0.25">
      <c r="A24" s="277" t="s">
        <v>488</v>
      </c>
      <c r="B24" s="278"/>
      <c r="C24" s="278"/>
      <c r="D24" s="278"/>
      <c r="E24" s="278"/>
      <c r="F24" s="279"/>
      <c r="G24" s="140"/>
      <c r="H24" s="277" t="s">
        <v>488</v>
      </c>
      <c r="I24" s="278"/>
      <c r="J24" s="278"/>
      <c r="K24" s="278"/>
      <c r="L24" s="278"/>
      <c r="M24" s="279"/>
    </row>
    <row r="25" spans="1:13" x14ac:dyDescent="0.25">
      <c r="A25" s="280" t="s">
        <v>498</v>
      </c>
      <c r="B25" s="281"/>
      <c r="C25" s="281"/>
      <c r="D25" s="281"/>
      <c r="E25" s="281"/>
      <c r="F25" s="282"/>
      <c r="G25" s="140"/>
      <c r="H25" s="280" t="s">
        <v>499</v>
      </c>
      <c r="I25" s="281"/>
      <c r="J25" s="281"/>
      <c r="K25" s="281"/>
      <c r="L25" s="281"/>
      <c r="M25" s="282"/>
    </row>
    <row r="26" spans="1:13" x14ac:dyDescent="0.25">
      <c r="A26" s="268" t="s">
        <v>355</v>
      </c>
      <c r="B26" s="269"/>
      <c r="C26" s="128" t="s">
        <v>292</v>
      </c>
      <c r="D26" s="128" t="s">
        <v>293</v>
      </c>
      <c r="E26" s="128" t="s">
        <v>294</v>
      </c>
      <c r="F26" s="128" t="s">
        <v>295</v>
      </c>
      <c r="G26" s="133"/>
      <c r="H26" s="268" t="s">
        <v>355</v>
      </c>
      <c r="I26" s="269"/>
      <c r="J26" s="128" t="s">
        <v>292</v>
      </c>
      <c r="K26" s="128" t="s">
        <v>293</v>
      </c>
      <c r="L26" s="128" t="s">
        <v>294</v>
      </c>
      <c r="M26" s="128" t="s">
        <v>295</v>
      </c>
    </row>
    <row r="27" spans="1:13" x14ac:dyDescent="0.25">
      <c r="A27" s="129" t="s">
        <v>500</v>
      </c>
      <c r="B27" s="130" t="s">
        <v>436</v>
      </c>
      <c r="C27" s="131" t="s">
        <v>300</v>
      </c>
      <c r="D27" s="130">
        <f>1*1.05</f>
        <v>1.05</v>
      </c>
      <c r="E27" s="132">
        <f>'Precios de Mat.'!B31</f>
        <v>0</v>
      </c>
      <c r="F27" s="132">
        <f>D27*E27</f>
        <v>0</v>
      </c>
      <c r="G27" s="133"/>
      <c r="H27" s="129" t="s">
        <v>501</v>
      </c>
      <c r="I27" s="130" t="s">
        <v>494</v>
      </c>
      <c r="J27" s="131" t="s">
        <v>300</v>
      </c>
      <c r="K27" s="130">
        <f>1*1.06</f>
        <v>1.06</v>
      </c>
      <c r="L27" s="132">
        <f>'Precios de Mat.'!B34</f>
        <v>0</v>
      </c>
      <c r="M27" s="132">
        <f>K27*L27</f>
        <v>0</v>
      </c>
    </row>
    <row r="28" spans="1:13" x14ac:dyDescent="0.25">
      <c r="A28" s="129" t="s">
        <v>495</v>
      </c>
      <c r="B28" s="130" t="s">
        <v>502</v>
      </c>
      <c r="C28" s="131" t="s">
        <v>300</v>
      </c>
      <c r="D28" s="130">
        <f>28*1.07</f>
        <v>29.96</v>
      </c>
      <c r="E28" s="132">
        <f>'Precios de Mat.'!$B$27</f>
        <v>0</v>
      </c>
      <c r="F28" s="132">
        <f>D28*E28</f>
        <v>0</v>
      </c>
      <c r="G28" s="133"/>
      <c r="H28" s="129" t="s">
        <v>495</v>
      </c>
      <c r="I28" s="130" t="s">
        <v>503</v>
      </c>
      <c r="J28" s="131" t="s">
        <v>300</v>
      </c>
      <c r="K28" s="130">
        <f>16*1.07</f>
        <v>17.12</v>
      </c>
      <c r="L28" s="132">
        <f>'Precios de Mat.'!$B$27</f>
        <v>0</v>
      </c>
      <c r="M28" s="132">
        <f>K28*L28</f>
        <v>0</v>
      </c>
    </row>
    <row r="29" spans="1:13" x14ac:dyDescent="0.25">
      <c r="A29" s="129"/>
      <c r="B29" s="134"/>
      <c r="C29" s="131"/>
      <c r="D29" s="135"/>
      <c r="E29" s="132"/>
      <c r="F29" s="132"/>
      <c r="G29" s="133"/>
      <c r="H29" s="129"/>
      <c r="I29" s="134"/>
      <c r="J29" s="131"/>
      <c r="K29" s="135"/>
      <c r="L29" s="132"/>
      <c r="M29" s="132"/>
    </row>
    <row r="30" spans="1:13" x14ac:dyDescent="0.25">
      <c r="A30" s="129"/>
      <c r="B30" s="136"/>
      <c r="C30" s="131"/>
      <c r="D30" s="137"/>
      <c r="E30" s="148"/>
      <c r="F30" s="132"/>
      <c r="G30" s="133"/>
      <c r="H30" s="129"/>
      <c r="I30" s="136"/>
      <c r="J30" s="131"/>
      <c r="K30" s="137"/>
      <c r="L30" s="148"/>
      <c r="M30" s="132"/>
    </row>
    <row r="31" spans="1:13" x14ac:dyDescent="0.25">
      <c r="A31" s="270" t="s">
        <v>305</v>
      </c>
      <c r="B31" s="271"/>
      <c r="C31" s="271"/>
      <c r="D31" s="271"/>
      <c r="E31" s="272"/>
      <c r="F31" s="132">
        <f>F27+F28</f>
        <v>0</v>
      </c>
      <c r="G31" s="133"/>
      <c r="H31" s="270" t="s">
        <v>305</v>
      </c>
      <c r="I31" s="271"/>
      <c r="J31" s="271"/>
      <c r="K31" s="271"/>
      <c r="L31" s="272"/>
      <c r="M31" s="132">
        <f>M27+M28</f>
        <v>0</v>
      </c>
    </row>
    <row r="32" spans="1:13" x14ac:dyDescent="0.25">
      <c r="A32" s="283" t="s">
        <v>306</v>
      </c>
      <c r="B32" s="284"/>
      <c r="C32" s="284"/>
      <c r="D32" s="284"/>
      <c r="E32" s="284"/>
      <c r="F32" s="285"/>
      <c r="G32" s="133"/>
      <c r="H32" s="283" t="s">
        <v>306</v>
      </c>
      <c r="I32" s="284"/>
      <c r="J32" s="284"/>
      <c r="K32" s="284"/>
      <c r="L32" s="284"/>
      <c r="M32" s="285"/>
    </row>
    <row r="33" spans="1:13" x14ac:dyDescent="0.25">
      <c r="A33" s="129" t="s">
        <v>537</v>
      </c>
      <c r="B33" s="130"/>
      <c r="C33" s="131" t="s">
        <v>69</v>
      </c>
      <c r="D33" s="142">
        <f>1/0.17</f>
        <v>5.8823529411764701</v>
      </c>
      <c r="E33" s="132">
        <v>332.82</v>
      </c>
      <c r="F33" s="132">
        <f>D33*E33</f>
        <v>1957.7647058823527</v>
      </c>
      <c r="G33" s="133"/>
      <c r="H33" s="129" t="s">
        <v>536</v>
      </c>
      <c r="I33" s="130"/>
      <c r="J33" s="131" t="s">
        <v>69</v>
      </c>
      <c r="K33" s="142">
        <f>1/0.22</f>
        <v>4.5454545454545459</v>
      </c>
      <c r="L33" s="132">
        <v>332.82</v>
      </c>
      <c r="M33" s="132">
        <f>K33*L33</f>
        <v>1512.818181818182</v>
      </c>
    </row>
    <row r="34" spans="1:13" x14ac:dyDescent="0.25">
      <c r="A34" s="138"/>
      <c r="B34" s="130"/>
      <c r="C34" s="151"/>
      <c r="D34" s="130"/>
      <c r="E34" s="132"/>
      <c r="F34" s="132"/>
      <c r="G34" s="133"/>
      <c r="H34" s="138"/>
      <c r="I34" s="130"/>
      <c r="J34" s="151"/>
      <c r="K34" s="130"/>
      <c r="L34" s="132"/>
      <c r="M34" s="132"/>
    </row>
    <row r="35" spans="1:13" x14ac:dyDescent="0.25">
      <c r="A35" s="138"/>
      <c r="B35" s="130"/>
      <c r="C35" s="151"/>
      <c r="D35" s="130"/>
      <c r="E35" s="132"/>
      <c r="F35" s="132"/>
      <c r="G35" s="139"/>
      <c r="H35" s="138"/>
      <c r="I35" s="130"/>
      <c r="J35" s="151"/>
      <c r="K35" s="130"/>
      <c r="L35" s="132"/>
      <c r="M35" s="132"/>
    </row>
    <row r="36" spans="1:13" x14ac:dyDescent="0.25">
      <c r="A36" s="270" t="s">
        <v>305</v>
      </c>
      <c r="B36" s="271"/>
      <c r="C36" s="271"/>
      <c r="D36" s="271"/>
      <c r="E36" s="272"/>
      <c r="F36" s="132">
        <f>F33+F34+F35</f>
        <v>1957.7647058823527</v>
      </c>
      <c r="G36" s="139"/>
      <c r="H36" s="270" t="s">
        <v>305</v>
      </c>
      <c r="I36" s="271"/>
      <c r="J36" s="271"/>
      <c r="K36" s="271"/>
      <c r="L36" s="272"/>
      <c r="M36" s="132">
        <f>M33+M34+M35</f>
        <v>1512.818181818182</v>
      </c>
    </row>
    <row r="37" spans="1:13" x14ac:dyDescent="0.25">
      <c r="A37" s="273" t="s">
        <v>307</v>
      </c>
      <c r="B37" s="274"/>
      <c r="C37" s="271"/>
      <c r="D37" s="271"/>
      <c r="E37" s="272"/>
      <c r="F37" s="132">
        <f>F31+F36</f>
        <v>1957.7647058823527</v>
      </c>
      <c r="G37" s="133"/>
      <c r="H37" s="273" t="s">
        <v>307</v>
      </c>
      <c r="I37" s="274"/>
      <c r="J37" s="271"/>
      <c r="K37" s="271"/>
      <c r="L37" s="272"/>
      <c r="M37" s="132">
        <f>M31+M36</f>
        <v>1512.818181818182</v>
      </c>
    </row>
    <row r="38" spans="1:13" x14ac:dyDescent="0.25">
      <c r="A38" s="133"/>
      <c r="B38" s="133"/>
      <c r="C38" s="133"/>
      <c r="D38" s="133"/>
      <c r="E38" s="133"/>
      <c r="F38" s="133"/>
      <c r="G38" s="141"/>
      <c r="H38" s="133"/>
      <c r="I38" s="133"/>
      <c r="J38" s="133"/>
      <c r="K38" s="133"/>
      <c r="L38" s="133"/>
      <c r="M38" s="133"/>
    </row>
    <row r="39" spans="1:13" x14ac:dyDescent="0.25">
      <c r="A39" s="133"/>
      <c r="B39" s="133"/>
      <c r="C39" s="133"/>
      <c r="D39" s="133"/>
      <c r="E39" s="133"/>
      <c r="F39" s="133"/>
      <c r="G39" s="141"/>
      <c r="H39" s="133"/>
      <c r="I39" s="133"/>
      <c r="J39" s="133"/>
      <c r="K39" s="133"/>
      <c r="L39" s="133"/>
      <c r="M39" s="133"/>
    </row>
    <row r="40" spans="1:13" x14ac:dyDescent="0.25">
      <c r="A40" s="144"/>
      <c r="B40" s="144"/>
      <c r="C40" s="144"/>
      <c r="D40" s="144"/>
      <c r="E40" s="144"/>
      <c r="F40" s="144"/>
      <c r="G40" s="141"/>
      <c r="H40" s="144"/>
      <c r="I40" s="144"/>
      <c r="J40" s="144"/>
      <c r="K40" s="144"/>
      <c r="L40" s="144"/>
      <c r="M40" s="144"/>
    </row>
    <row r="41" spans="1:13" x14ac:dyDescent="0.25">
      <c r="A41" s="277" t="s">
        <v>488</v>
      </c>
      <c r="B41" s="278"/>
      <c r="C41" s="278"/>
      <c r="D41" s="278"/>
      <c r="E41" s="278"/>
      <c r="F41" s="279"/>
      <c r="G41" s="140"/>
      <c r="H41" s="277" t="s">
        <v>488</v>
      </c>
      <c r="I41" s="278"/>
      <c r="J41" s="278"/>
      <c r="K41" s="278"/>
      <c r="L41" s="278"/>
      <c r="M41" s="279"/>
    </row>
    <row r="42" spans="1:13" x14ac:dyDescent="0.25">
      <c r="A42" s="280" t="s">
        <v>504</v>
      </c>
      <c r="B42" s="281"/>
      <c r="C42" s="281"/>
      <c r="D42" s="281"/>
      <c r="E42" s="281"/>
      <c r="F42" s="282"/>
      <c r="G42" s="140"/>
      <c r="H42" s="280" t="s">
        <v>505</v>
      </c>
      <c r="I42" s="281"/>
      <c r="J42" s="281"/>
      <c r="K42" s="281"/>
      <c r="L42" s="281"/>
      <c r="M42" s="282"/>
    </row>
    <row r="43" spans="1:13" x14ac:dyDescent="0.25">
      <c r="A43" s="268" t="s">
        <v>355</v>
      </c>
      <c r="B43" s="269"/>
      <c r="C43" s="128" t="s">
        <v>292</v>
      </c>
      <c r="D43" s="128" t="s">
        <v>293</v>
      </c>
      <c r="E43" s="128" t="s">
        <v>294</v>
      </c>
      <c r="F43" s="128" t="s">
        <v>295</v>
      </c>
      <c r="G43" s="133"/>
      <c r="H43" s="268" t="s">
        <v>355</v>
      </c>
      <c r="I43" s="269"/>
      <c r="J43" s="128" t="s">
        <v>292</v>
      </c>
      <c r="K43" s="128" t="s">
        <v>293</v>
      </c>
      <c r="L43" s="128" t="s">
        <v>294</v>
      </c>
      <c r="M43" s="128" t="s">
        <v>295</v>
      </c>
    </row>
    <row r="44" spans="1:13" x14ac:dyDescent="0.25">
      <c r="A44" s="129" t="s">
        <v>506</v>
      </c>
      <c r="B44" s="130" t="s">
        <v>494</v>
      </c>
      <c r="C44" s="131" t="s">
        <v>300</v>
      </c>
      <c r="D44" s="130">
        <f>1*1.06</f>
        <v>1.06</v>
      </c>
      <c r="E44" s="132">
        <f>'Precios de Mat.'!$B32</f>
        <v>0</v>
      </c>
      <c r="F44" s="132">
        <f>D44*E44</f>
        <v>0</v>
      </c>
      <c r="G44" s="133"/>
      <c r="H44" s="129" t="s">
        <v>507</v>
      </c>
      <c r="I44" s="130" t="s">
        <v>494</v>
      </c>
      <c r="J44" s="131" t="s">
        <v>300</v>
      </c>
      <c r="K44" s="130">
        <f>1*1.06</f>
        <v>1.06</v>
      </c>
      <c r="L44" s="132">
        <f>'Precios de Mat.'!$B35</f>
        <v>0</v>
      </c>
      <c r="M44" s="132">
        <f>K44*L44</f>
        <v>0</v>
      </c>
    </row>
    <row r="45" spans="1:13" x14ac:dyDescent="0.25">
      <c r="A45" s="129" t="s">
        <v>495</v>
      </c>
      <c r="B45" s="130" t="s">
        <v>508</v>
      </c>
      <c r="C45" s="131" t="s">
        <v>300</v>
      </c>
      <c r="D45" s="130">
        <f>22*1.07</f>
        <v>23.540000000000003</v>
      </c>
      <c r="E45" s="132">
        <f>'Precios de Mat.'!$B$27</f>
        <v>0</v>
      </c>
      <c r="F45" s="132">
        <f>D45*E45</f>
        <v>0</v>
      </c>
      <c r="G45" s="133"/>
      <c r="H45" s="129" t="s">
        <v>495</v>
      </c>
      <c r="I45" s="130" t="s">
        <v>509</v>
      </c>
      <c r="J45" s="131" t="s">
        <v>300</v>
      </c>
      <c r="K45" s="130">
        <f>10*1.07</f>
        <v>10.700000000000001</v>
      </c>
      <c r="L45" s="132">
        <f>'Precios de Mat.'!$B$27</f>
        <v>0</v>
      </c>
      <c r="M45" s="132">
        <f>K45*L45</f>
        <v>0</v>
      </c>
    </row>
    <row r="46" spans="1:13" x14ac:dyDescent="0.25">
      <c r="A46" s="129"/>
      <c r="B46" s="134"/>
      <c r="C46" s="131"/>
      <c r="D46" s="135"/>
      <c r="E46" s="132"/>
      <c r="F46" s="132"/>
      <c r="G46" s="133"/>
      <c r="H46" s="129"/>
      <c r="I46" s="134"/>
      <c r="J46" s="131"/>
      <c r="K46" s="135"/>
      <c r="L46" s="132"/>
      <c r="M46" s="132"/>
    </row>
    <row r="47" spans="1:13" x14ac:dyDescent="0.25">
      <c r="A47" s="129"/>
      <c r="B47" s="136"/>
      <c r="C47" s="131"/>
      <c r="D47" s="137"/>
      <c r="E47" s="148"/>
      <c r="F47" s="132"/>
      <c r="G47" s="133"/>
      <c r="H47" s="129"/>
      <c r="I47" s="136"/>
      <c r="J47" s="131"/>
      <c r="K47" s="137"/>
      <c r="L47" s="148"/>
      <c r="M47" s="132"/>
    </row>
    <row r="48" spans="1:13" x14ac:dyDescent="0.25">
      <c r="A48" s="270" t="s">
        <v>305</v>
      </c>
      <c r="B48" s="271"/>
      <c r="C48" s="271"/>
      <c r="D48" s="271"/>
      <c r="E48" s="272"/>
      <c r="F48" s="132">
        <f>F44+F45</f>
        <v>0</v>
      </c>
      <c r="G48" s="133"/>
      <c r="H48" s="270" t="s">
        <v>305</v>
      </c>
      <c r="I48" s="271"/>
      <c r="J48" s="271"/>
      <c r="K48" s="271"/>
      <c r="L48" s="272"/>
      <c r="M48" s="132">
        <f>M44+M45</f>
        <v>0</v>
      </c>
    </row>
    <row r="49" spans="1:13" x14ac:dyDescent="0.25">
      <c r="A49" s="283" t="s">
        <v>306</v>
      </c>
      <c r="B49" s="284"/>
      <c r="C49" s="284"/>
      <c r="D49" s="284"/>
      <c r="E49" s="284"/>
      <c r="F49" s="285"/>
      <c r="G49" s="133"/>
      <c r="H49" s="283" t="s">
        <v>306</v>
      </c>
      <c r="I49" s="284"/>
      <c r="J49" s="284"/>
      <c r="K49" s="284"/>
      <c r="L49" s="284"/>
      <c r="M49" s="285"/>
    </row>
    <row r="50" spans="1:13" x14ac:dyDescent="0.25">
      <c r="A50" s="129" t="s">
        <v>539</v>
      </c>
      <c r="B50" s="130"/>
      <c r="C50" s="131" t="s">
        <v>69</v>
      </c>
      <c r="D50" s="142">
        <f>1/0.18</f>
        <v>5.5555555555555554</v>
      </c>
      <c r="E50" s="132">
        <v>332.82</v>
      </c>
      <c r="F50" s="132">
        <f>D50*E50</f>
        <v>1849</v>
      </c>
      <c r="G50" s="133"/>
      <c r="H50" s="129" t="s">
        <v>538</v>
      </c>
      <c r="I50" s="130"/>
      <c r="J50" s="131" t="s">
        <v>69</v>
      </c>
      <c r="K50" s="142">
        <f>1/0.24</f>
        <v>4.166666666666667</v>
      </c>
      <c r="L50" s="132">
        <v>332.82</v>
      </c>
      <c r="M50" s="132">
        <f>K50*L50</f>
        <v>1386.75</v>
      </c>
    </row>
    <row r="51" spans="1:13" x14ac:dyDescent="0.25">
      <c r="A51" s="138"/>
      <c r="B51" s="130"/>
      <c r="C51" s="151"/>
      <c r="D51" s="130"/>
      <c r="E51" s="132"/>
      <c r="F51" s="132"/>
      <c r="G51" s="133"/>
      <c r="H51" s="138"/>
      <c r="I51" s="130"/>
      <c r="J51" s="151"/>
      <c r="K51" s="130"/>
      <c r="L51" s="132"/>
      <c r="M51" s="132"/>
    </row>
    <row r="52" spans="1:13" x14ac:dyDescent="0.25">
      <c r="A52" s="138"/>
      <c r="B52" s="130"/>
      <c r="C52" s="151"/>
      <c r="D52" s="130"/>
      <c r="E52" s="132"/>
      <c r="F52" s="132"/>
      <c r="G52" s="139"/>
      <c r="H52" s="138"/>
      <c r="I52" s="130"/>
      <c r="J52" s="151"/>
      <c r="K52" s="130"/>
      <c r="L52" s="132"/>
      <c r="M52" s="132"/>
    </row>
    <row r="53" spans="1:13" x14ac:dyDescent="0.25">
      <c r="A53" s="270" t="s">
        <v>305</v>
      </c>
      <c r="B53" s="271"/>
      <c r="C53" s="271"/>
      <c r="D53" s="271"/>
      <c r="E53" s="272"/>
      <c r="F53" s="132">
        <f>F50+F51+F52</f>
        <v>1849</v>
      </c>
      <c r="G53" s="139"/>
      <c r="H53" s="270" t="s">
        <v>305</v>
      </c>
      <c r="I53" s="271"/>
      <c r="J53" s="271"/>
      <c r="K53" s="271"/>
      <c r="L53" s="272"/>
      <c r="M53" s="132">
        <f>M50+M51+M52</f>
        <v>1386.75</v>
      </c>
    </row>
    <row r="54" spans="1:13" x14ac:dyDescent="0.25">
      <c r="A54" s="273" t="s">
        <v>307</v>
      </c>
      <c r="B54" s="274"/>
      <c r="C54" s="271"/>
      <c r="D54" s="271"/>
      <c r="E54" s="272"/>
      <c r="F54" s="132">
        <f>F48+F53</f>
        <v>1849</v>
      </c>
      <c r="G54" s="133"/>
      <c r="H54" s="273" t="s">
        <v>307</v>
      </c>
      <c r="I54" s="274"/>
      <c r="J54" s="271"/>
      <c r="K54" s="271"/>
      <c r="L54" s="272"/>
      <c r="M54" s="132">
        <f>M48+M53</f>
        <v>1386.75</v>
      </c>
    </row>
    <row r="55" spans="1:13" x14ac:dyDescent="0.25">
      <c r="A55" s="133"/>
      <c r="B55" s="133"/>
      <c r="C55" s="133"/>
      <c r="D55" s="133"/>
      <c r="E55" s="133"/>
      <c r="F55" s="133"/>
      <c r="G55" s="141"/>
      <c r="H55" s="133"/>
      <c r="I55" s="133"/>
      <c r="J55" s="133"/>
      <c r="K55" s="133"/>
      <c r="L55" s="133"/>
      <c r="M55" s="133"/>
    </row>
    <row r="56" spans="1:13" x14ac:dyDescent="0.2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x14ac:dyDescent="0.2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8" spans="1:13" x14ac:dyDescent="0.25">
      <c r="A58" s="277" t="s">
        <v>488</v>
      </c>
      <c r="B58" s="278"/>
      <c r="C58" s="278"/>
      <c r="D58" s="278"/>
      <c r="E58" s="278"/>
      <c r="F58" s="279"/>
      <c r="G58" s="140"/>
      <c r="H58" s="277" t="s">
        <v>488</v>
      </c>
      <c r="I58" s="278"/>
      <c r="J58" s="278"/>
      <c r="K58" s="278"/>
      <c r="L58" s="278"/>
      <c r="M58" s="279"/>
    </row>
    <row r="59" spans="1:13" x14ac:dyDescent="0.25">
      <c r="A59" s="280" t="s">
        <v>510</v>
      </c>
      <c r="B59" s="281"/>
      <c r="C59" s="281"/>
      <c r="D59" s="281"/>
      <c r="E59" s="281"/>
      <c r="F59" s="282"/>
      <c r="G59" s="140"/>
      <c r="H59" s="280" t="s">
        <v>511</v>
      </c>
      <c r="I59" s="281"/>
      <c r="J59" s="281"/>
      <c r="K59" s="281"/>
      <c r="L59" s="281"/>
      <c r="M59" s="282"/>
    </row>
    <row r="60" spans="1:13" x14ac:dyDescent="0.25">
      <c r="A60" s="268" t="s">
        <v>355</v>
      </c>
      <c r="B60" s="269"/>
      <c r="C60" s="128" t="s">
        <v>292</v>
      </c>
      <c r="D60" s="128" t="s">
        <v>293</v>
      </c>
      <c r="E60" s="128" t="s">
        <v>294</v>
      </c>
      <c r="F60" s="128" t="s">
        <v>295</v>
      </c>
      <c r="G60" s="133"/>
      <c r="H60" s="268" t="s">
        <v>355</v>
      </c>
      <c r="I60" s="269"/>
      <c r="J60" s="128" t="s">
        <v>292</v>
      </c>
      <c r="K60" s="128" t="s">
        <v>293</v>
      </c>
      <c r="L60" s="128" t="s">
        <v>294</v>
      </c>
      <c r="M60" s="128" t="s">
        <v>295</v>
      </c>
    </row>
    <row r="61" spans="1:13" x14ac:dyDescent="0.25">
      <c r="A61" s="129" t="s">
        <v>512</v>
      </c>
      <c r="B61" s="130" t="s">
        <v>513</v>
      </c>
      <c r="C61" s="131" t="s">
        <v>300</v>
      </c>
      <c r="D61" s="130">
        <f>1*1.07</f>
        <v>1.07</v>
      </c>
      <c r="E61" s="132">
        <f>'Precios de Mat.'!$B36</f>
        <v>0</v>
      </c>
      <c r="F61" s="132">
        <f>D61*E61</f>
        <v>0</v>
      </c>
      <c r="G61" s="133"/>
      <c r="H61" s="129" t="s">
        <v>514</v>
      </c>
      <c r="I61" s="130" t="s">
        <v>513</v>
      </c>
      <c r="J61" s="131" t="s">
        <v>300</v>
      </c>
      <c r="K61" s="130">
        <f>1*1.07</f>
        <v>1.07</v>
      </c>
      <c r="L61" s="132">
        <f>'Precios de Mat.'!B38</f>
        <v>0</v>
      </c>
      <c r="M61" s="132">
        <f>K61*L61</f>
        <v>0</v>
      </c>
    </row>
    <row r="62" spans="1:13" x14ac:dyDescent="0.25">
      <c r="A62" s="129" t="s">
        <v>495</v>
      </c>
      <c r="B62" s="130" t="s">
        <v>515</v>
      </c>
      <c r="C62" s="131" t="s">
        <v>300</v>
      </c>
      <c r="D62" s="130">
        <f>15*1.07</f>
        <v>16.05</v>
      </c>
      <c r="E62" s="132">
        <f>'Precios de Mat.'!$B$27</f>
        <v>0</v>
      </c>
      <c r="F62" s="132">
        <f>D62*E62</f>
        <v>0</v>
      </c>
      <c r="G62" s="133"/>
      <c r="H62" s="129" t="s">
        <v>495</v>
      </c>
      <c r="I62" s="130" t="s">
        <v>516</v>
      </c>
      <c r="J62" s="131" t="s">
        <v>300</v>
      </c>
      <c r="K62" s="130">
        <f>14*1.07</f>
        <v>14.98</v>
      </c>
      <c r="L62" s="132">
        <f>'Precios de Mat.'!$B$27</f>
        <v>0</v>
      </c>
      <c r="M62" s="132">
        <f>K62*L62</f>
        <v>0</v>
      </c>
    </row>
    <row r="63" spans="1:13" x14ac:dyDescent="0.25">
      <c r="A63" s="129"/>
      <c r="B63" s="134"/>
      <c r="C63" s="131"/>
      <c r="D63" s="135"/>
      <c r="E63" s="132"/>
      <c r="F63" s="132"/>
      <c r="G63" s="133"/>
      <c r="H63" s="129"/>
      <c r="I63" s="134"/>
      <c r="J63" s="131"/>
      <c r="K63" s="135"/>
      <c r="L63" s="132"/>
      <c r="M63" s="132"/>
    </row>
    <row r="64" spans="1:13" x14ac:dyDescent="0.25">
      <c r="A64" s="129"/>
      <c r="B64" s="136"/>
      <c r="C64" s="131"/>
      <c r="D64" s="137"/>
      <c r="E64" s="148"/>
      <c r="F64" s="132"/>
      <c r="G64" s="133"/>
      <c r="H64" s="129"/>
      <c r="I64" s="136"/>
      <c r="J64" s="131"/>
      <c r="K64" s="137"/>
      <c r="L64" s="148"/>
      <c r="M64" s="132"/>
    </row>
    <row r="65" spans="1:13" x14ac:dyDescent="0.25">
      <c r="A65" s="270" t="s">
        <v>305</v>
      </c>
      <c r="B65" s="271"/>
      <c r="C65" s="271"/>
      <c r="D65" s="271"/>
      <c r="E65" s="272"/>
      <c r="F65" s="132">
        <f>F61+F62</f>
        <v>0</v>
      </c>
      <c r="G65" s="133"/>
      <c r="H65" s="270" t="s">
        <v>305</v>
      </c>
      <c r="I65" s="271"/>
      <c r="J65" s="271"/>
      <c r="K65" s="271"/>
      <c r="L65" s="272"/>
      <c r="M65" s="132">
        <f>M61+M62</f>
        <v>0</v>
      </c>
    </row>
    <row r="66" spans="1:13" x14ac:dyDescent="0.25">
      <c r="A66" s="283" t="s">
        <v>306</v>
      </c>
      <c r="B66" s="284"/>
      <c r="C66" s="284"/>
      <c r="D66" s="284"/>
      <c r="E66" s="284"/>
      <c r="F66" s="285"/>
      <c r="G66" s="133"/>
      <c r="H66" s="283" t="s">
        <v>306</v>
      </c>
      <c r="I66" s="284"/>
      <c r="J66" s="284"/>
      <c r="K66" s="284"/>
      <c r="L66" s="284"/>
      <c r="M66" s="285"/>
    </row>
    <row r="67" spans="1:13" x14ac:dyDescent="0.25">
      <c r="A67" s="129" t="s">
        <v>540</v>
      </c>
      <c r="B67" s="130"/>
      <c r="C67" s="131" t="s">
        <v>69</v>
      </c>
      <c r="D67" s="142">
        <f>1/0.26</f>
        <v>3.8461538461538458</v>
      </c>
      <c r="E67" s="132">
        <v>332.82</v>
      </c>
      <c r="F67" s="132">
        <f>D67*E67</f>
        <v>1280.0769230769229</v>
      </c>
      <c r="G67" s="133"/>
      <c r="H67" s="129" t="s">
        <v>541</v>
      </c>
      <c r="I67" s="130"/>
      <c r="J67" s="131" t="s">
        <v>69</v>
      </c>
      <c r="K67" s="142">
        <f>1/0.3</f>
        <v>3.3333333333333335</v>
      </c>
      <c r="L67" s="132">
        <v>332.82</v>
      </c>
      <c r="M67" s="132">
        <f>K67*L67</f>
        <v>1109.4000000000001</v>
      </c>
    </row>
    <row r="68" spans="1:13" x14ac:dyDescent="0.25">
      <c r="A68" s="138"/>
      <c r="B68" s="130"/>
      <c r="C68" s="151"/>
      <c r="D68" s="130"/>
      <c r="E68" s="132"/>
      <c r="F68" s="132"/>
      <c r="G68" s="133"/>
      <c r="H68" s="138"/>
      <c r="I68" s="130"/>
      <c r="J68" s="151"/>
      <c r="K68" s="130"/>
      <c r="L68" s="132"/>
      <c r="M68" s="132"/>
    </row>
    <row r="69" spans="1:13" x14ac:dyDescent="0.25">
      <c r="A69" s="138"/>
      <c r="B69" s="130"/>
      <c r="C69" s="151"/>
      <c r="D69" s="130"/>
      <c r="E69" s="132"/>
      <c r="F69" s="132"/>
      <c r="G69" s="139"/>
      <c r="H69" s="138"/>
      <c r="I69" s="130"/>
      <c r="J69" s="151"/>
      <c r="K69" s="130"/>
      <c r="L69" s="132"/>
      <c r="M69" s="132"/>
    </row>
    <row r="70" spans="1:13" x14ac:dyDescent="0.25">
      <c r="A70" s="270" t="s">
        <v>305</v>
      </c>
      <c r="B70" s="271"/>
      <c r="C70" s="271"/>
      <c r="D70" s="271"/>
      <c r="E70" s="272"/>
      <c r="F70" s="132">
        <f>F67+F68+F69</f>
        <v>1280.0769230769229</v>
      </c>
      <c r="G70" s="139"/>
      <c r="H70" s="270" t="s">
        <v>305</v>
      </c>
      <c r="I70" s="271"/>
      <c r="J70" s="271"/>
      <c r="K70" s="271"/>
      <c r="L70" s="272"/>
      <c r="M70" s="132">
        <f>M67+M68+M69</f>
        <v>1109.4000000000001</v>
      </c>
    </row>
    <row r="71" spans="1:13" x14ac:dyDescent="0.25">
      <c r="A71" s="273" t="s">
        <v>307</v>
      </c>
      <c r="B71" s="274"/>
      <c r="C71" s="271"/>
      <c r="D71" s="271"/>
      <c r="E71" s="272"/>
      <c r="F71" s="132">
        <f>F65+F70</f>
        <v>1280.0769230769229</v>
      </c>
      <c r="G71" s="133"/>
      <c r="H71" s="273" t="s">
        <v>307</v>
      </c>
      <c r="I71" s="274"/>
      <c r="J71" s="271"/>
      <c r="K71" s="271"/>
      <c r="L71" s="272"/>
      <c r="M71" s="132">
        <f>M65+M70</f>
        <v>1109.4000000000001</v>
      </c>
    </row>
    <row r="72" spans="1:13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3" x14ac:dyDescent="0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3" x14ac:dyDescent="0.25">
      <c r="A74" s="144"/>
      <c r="B74" s="144"/>
      <c r="C74" s="144"/>
      <c r="D74" s="144"/>
      <c r="E74" s="144"/>
      <c r="F74" s="144"/>
      <c r="G74" s="141"/>
      <c r="H74" s="141"/>
      <c r="I74" s="141"/>
      <c r="J74" s="141"/>
      <c r="K74" s="141"/>
      <c r="L74" s="141"/>
      <c r="M74" s="141"/>
    </row>
    <row r="75" spans="1:13" x14ac:dyDescent="0.25">
      <c r="A75" s="277" t="s">
        <v>488</v>
      </c>
      <c r="B75" s="278"/>
      <c r="C75" s="278"/>
      <c r="D75" s="278"/>
      <c r="E75" s="278"/>
      <c r="F75" s="279"/>
      <c r="G75" s="141"/>
      <c r="H75" s="141"/>
      <c r="I75" s="141"/>
      <c r="J75" s="141"/>
      <c r="K75" s="141"/>
      <c r="L75" s="141"/>
      <c r="M75" s="141"/>
    </row>
    <row r="76" spans="1:13" x14ac:dyDescent="0.25">
      <c r="A76" s="280" t="s">
        <v>517</v>
      </c>
      <c r="B76" s="281"/>
      <c r="C76" s="281"/>
      <c r="D76" s="281"/>
      <c r="E76" s="281"/>
      <c r="F76" s="282"/>
      <c r="G76" s="141"/>
      <c r="H76" s="141"/>
      <c r="I76" s="141"/>
      <c r="J76" s="141"/>
      <c r="K76" s="141"/>
      <c r="L76" s="141"/>
      <c r="M76" s="141"/>
    </row>
    <row r="77" spans="1:13" x14ac:dyDescent="0.25">
      <c r="A77" s="268" t="s">
        <v>355</v>
      </c>
      <c r="B77" s="269"/>
      <c r="C77" s="128" t="s">
        <v>292</v>
      </c>
      <c r="D77" s="128" t="s">
        <v>293</v>
      </c>
      <c r="E77" s="128" t="s">
        <v>294</v>
      </c>
      <c r="F77" s="128" t="s">
        <v>295</v>
      </c>
      <c r="G77" s="141"/>
      <c r="H77" s="141"/>
      <c r="I77" s="141"/>
      <c r="J77" s="141"/>
      <c r="K77" s="141"/>
      <c r="L77" s="141"/>
      <c r="M77" s="141"/>
    </row>
    <row r="78" spans="1:13" x14ac:dyDescent="0.25">
      <c r="A78" s="129" t="s">
        <v>518</v>
      </c>
      <c r="B78" s="130" t="s">
        <v>513</v>
      </c>
      <c r="C78" s="131" t="s">
        <v>300</v>
      </c>
      <c r="D78" s="130">
        <f>1*1.07</f>
        <v>1.07</v>
      </c>
      <c r="E78" s="132">
        <f>'Precios de Mat.'!$B37</f>
        <v>0</v>
      </c>
      <c r="F78" s="132">
        <f>D78*E78</f>
        <v>0</v>
      </c>
      <c r="G78" s="141"/>
      <c r="H78" s="141"/>
      <c r="I78" s="141"/>
      <c r="J78" s="141"/>
      <c r="K78" s="141"/>
      <c r="L78" s="141"/>
      <c r="M78" s="141"/>
    </row>
    <row r="79" spans="1:13" x14ac:dyDescent="0.25">
      <c r="A79" s="129" t="s">
        <v>495</v>
      </c>
      <c r="B79" s="130" t="s">
        <v>516</v>
      </c>
      <c r="C79" s="131" t="s">
        <v>300</v>
      </c>
      <c r="D79" s="130">
        <f>14*1.07</f>
        <v>14.98</v>
      </c>
      <c r="E79" s="132">
        <f>'Precios de Mat.'!$B$27</f>
        <v>0</v>
      </c>
      <c r="F79" s="132">
        <f>D79*E79</f>
        <v>0</v>
      </c>
      <c r="G79" s="141"/>
      <c r="H79" s="141"/>
      <c r="I79" s="141"/>
      <c r="J79" s="141"/>
      <c r="K79" s="141"/>
      <c r="L79" s="141"/>
      <c r="M79" s="141"/>
    </row>
    <row r="80" spans="1:13" x14ac:dyDescent="0.25">
      <c r="A80" s="129"/>
      <c r="B80" s="134"/>
      <c r="C80" s="131"/>
      <c r="D80" s="135"/>
      <c r="E80" s="132"/>
      <c r="F80" s="132"/>
      <c r="G80" s="141"/>
      <c r="H80" s="141"/>
      <c r="I80" s="141"/>
      <c r="J80" s="141"/>
      <c r="K80" s="141"/>
      <c r="L80" s="141"/>
      <c r="M80" s="141"/>
    </row>
    <row r="81" spans="1:13" x14ac:dyDescent="0.25">
      <c r="A81" s="129"/>
      <c r="B81" s="136"/>
      <c r="C81" s="131"/>
      <c r="D81" s="137"/>
      <c r="E81" s="148"/>
      <c r="F81" s="132"/>
      <c r="G81" s="141"/>
      <c r="H81" s="141"/>
      <c r="I81" s="141"/>
      <c r="J81" s="141"/>
      <c r="K81" s="141"/>
      <c r="L81" s="141"/>
      <c r="M81" s="141"/>
    </row>
    <row r="82" spans="1:13" x14ac:dyDescent="0.25">
      <c r="A82" s="270" t="s">
        <v>305</v>
      </c>
      <c r="B82" s="271"/>
      <c r="C82" s="271"/>
      <c r="D82" s="271"/>
      <c r="E82" s="272"/>
      <c r="F82" s="132">
        <f>F78+F79</f>
        <v>0</v>
      </c>
      <c r="G82" s="141"/>
      <c r="H82" s="141"/>
      <c r="I82" s="141"/>
      <c r="J82" s="141"/>
      <c r="K82" s="141"/>
      <c r="L82" s="141"/>
      <c r="M82" s="141"/>
    </row>
    <row r="83" spans="1:13" x14ac:dyDescent="0.25">
      <c r="A83" s="283" t="s">
        <v>306</v>
      </c>
      <c r="B83" s="284"/>
      <c r="C83" s="284"/>
      <c r="D83" s="284"/>
      <c r="E83" s="284"/>
      <c r="F83" s="285"/>
      <c r="G83" s="141"/>
      <c r="H83" s="141"/>
      <c r="I83" s="141"/>
      <c r="J83" s="141"/>
      <c r="K83" s="141"/>
      <c r="L83" s="141"/>
      <c r="M83" s="141"/>
    </row>
    <row r="84" spans="1:13" x14ac:dyDescent="0.25">
      <c r="A84" s="129" t="s">
        <v>542</v>
      </c>
      <c r="B84" s="130"/>
      <c r="C84" s="131" t="s">
        <v>69</v>
      </c>
      <c r="D84" s="142">
        <f>1/0.28</f>
        <v>3.5714285714285712</v>
      </c>
      <c r="E84" s="132">
        <v>332.82</v>
      </c>
      <c r="F84" s="132">
        <f>D84*E84</f>
        <v>1188.6428571428571</v>
      </c>
      <c r="G84" s="141"/>
      <c r="H84" s="141"/>
      <c r="I84" s="141"/>
      <c r="J84" s="141"/>
      <c r="K84" s="141"/>
      <c r="L84" s="141"/>
      <c r="M84" s="141"/>
    </row>
    <row r="85" spans="1:13" x14ac:dyDescent="0.25">
      <c r="A85" s="138"/>
      <c r="B85" s="130"/>
      <c r="C85" s="151"/>
      <c r="D85" s="130"/>
      <c r="E85" s="132"/>
      <c r="F85" s="132"/>
      <c r="G85" s="141"/>
      <c r="H85" s="141"/>
      <c r="I85" s="141"/>
      <c r="J85" s="141"/>
      <c r="K85" s="141"/>
      <c r="L85" s="141"/>
      <c r="M85" s="141"/>
    </row>
    <row r="86" spans="1:13" x14ac:dyDescent="0.25">
      <c r="A86" s="138"/>
      <c r="B86" s="130"/>
      <c r="C86" s="151"/>
      <c r="D86" s="130"/>
      <c r="E86" s="132"/>
      <c r="F86" s="132"/>
      <c r="G86" s="141"/>
      <c r="H86" s="141"/>
      <c r="I86" s="141"/>
      <c r="J86" s="141"/>
      <c r="K86" s="141"/>
      <c r="L86" s="141"/>
      <c r="M86" s="141"/>
    </row>
    <row r="87" spans="1:13" x14ac:dyDescent="0.25">
      <c r="A87" s="270" t="s">
        <v>305</v>
      </c>
      <c r="B87" s="271"/>
      <c r="C87" s="271"/>
      <c r="D87" s="271"/>
      <c r="E87" s="272"/>
      <c r="F87" s="132">
        <f>F84+F85+F86</f>
        <v>1188.6428571428571</v>
      </c>
      <c r="G87" s="141"/>
      <c r="H87" s="141"/>
      <c r="I87" s="141"/>
      <c r="J87" s="141"/>
      <c r="K87" s="141"/>
      <c r="L87" s="141"/>
      <c r="M87" s="141"/>
    </row>
    <row r="88" spans="1:13" x14ac:dyDescent="0.25">
      <c r="A88" s="273" t="s">
        <v>307</v>
      </c>
      <c r="B88" s="274"/>
      <c r="C88" s="271"/>
      <c r="D88" s="271"/>
      <c r="E88" s="272"/>
      <c r="F88" s="132">
        <f>F82+F87</f>
        <v>1188.6428571428571</v>
      </c>
      <c r="G88" s="141"/>
      <c r="H88" s="141"/>
      <c r="I88" s="141"/>
      <c r="J88" s="141"/>
      <c r="K88" s="141"/>
      <c r="L88" s="141"/>
      <c r="M88" s="141"/>
    </row>
  </sheetData>
  <mergeCells count="68">
    <mergeCell ref="A7:F7"/>
    <mergeCell ref="H7:M7"/>
    <mergeCell ref="A8:F8"/>
    <mergeCell ref="H8:M8"/>
    <mergeCell ref="A9:B9"/>
    <mergeCell ref="H9:I9"/>
    <mergeCell ref="H14:L14"/>
    <mergeCell ref="A15:F15"/>
    <mergeCell ref="H15:M15"/>
    <mergeCell ref="A19:E19"/>
    <mergeCell ref="H19:L19"/>
    <mergeCell ref="H20:L20"/>
    <mergeCell ref="A24:F24"/>
    <mergeCell ref="H24:M24"/>
    <mergeCell ref="A25:F25"/>
    <mergeCell ref="H25:M25"/>
    <mergeCell ref="H26:I26"/>
    <mergeCell ref="A31:E31"/>
    <mergeCell ref="H31:L31"/>
    <mergeCell ref="A32:F32"/>
    <mergeCell ref="H32:M32"/>
    <mergeCell ref="H36:L36"/>
    <mergeCell ref="A37:E37"/>
    <mergeCell ref="H37:L37"/>
    <mergeCell ref="A41:F41"/>
    <mergeCell ref="H41:M41"/>
    <mergeCell ref="H42:M42"/>
    <mergeCell ref="A43:B43"/>
    <mergeCell ref="H43:I43"/>
    <mergeCell ref="A48:E48"/>
    <mergeCell ref="H48:L48"/>
    <mergeCell ref="H60:I60"/>
    <mergeCell ref="A54:E54"/>
    <mergeCell ref="H54:L54"/>
    <mergeCell ref="A58:F58"/>
    <mergeCell ref="H58:M58"/>
    <mergeCell ref="A87:E87"/>
    <mergeCell ref="A88:E88"/>
    <mergeCell ref="A11:B11"/>
    <mergeCell ref="A75:F75"/>
    <mergeCell ref="A76:F76"/>
    <mergeCell ref="A77:B77"/>
    <mergeCell ref="A82:E82"/>
    <mergeCell ref="A70:E70"/>
    <mergeCell ref="A59:F59"/>
    <mergeCell ref="A49:F49"/>
    <mergeCell ref="A42:F42"/>
    <mergeCell ref="A36:E36"/>
    <mergeCell ref="A26:B26"/>
    <mergeCell ref="A20:E20"/>
    <mergeCell ref="A14:E14"/>
    <mergeCell ref="A71:E71"/>
    <mergeCell ref="A1:M1"/>
    <mergeCell ref="A2:M2"/>
    <mergeCell ref="A3:M3"/>
    <mergeCell ref="A4:M4"/>
    <mergeCell ref="A83:F83"/>
    <mergeCell ref="H70:L70"/>
    <mergeCell ref="H71:L71"/>
    <mergeCell ref="A65:E65"/>
    <mergeCell ref="H65:L65"/>
    <mergeCell ref="A66:F66"/>
    <mergeCell ref="H66:M66"/>
    <mergeCell ref="H49:M49"/>
    <mergeCell ref="A53:E53"/>
    <mergeCell ref="H53:L53"/>
    <mergeCell ref="H59:M59"/>
    <mergeCell ref="A60:B60"/>
  </mergeCells>
  <phoneticPr fontId="0" type="noConversion"/>
  <pageMargins left="0.75" right="0.75" top="0.14000000000000001" bottom="1" header="0" footer="0"/>
  <pageSetup scale="72" orientation="portrait" horizontalDpi="4294967293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89"/>
  <sheetViews>
    <sheetView zoomScaleNormal="100" workbookViewId="0">
      <selection activeCell="D5" sqref="D5"/>
    </sheetView>
  </sheetViews>
  <sheetFormatPr baseColWidth="10" defaultRowHeight="13.2" x14ac:dyDescent="0.25"/>
  <sheetData>
    <row r="1" spans="1:13" ht="23.4" x14ac:dyDescent="0.25">
      <c r="A1" s="291" t="s">
        <v>559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3"/>
    </row>
    <row r="2" spans="1:13" x14ac:dyDescent="0.25">
      <c r="A2" s="294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95"/>
    </row>
    <row r="3" spans="1:13" x14ac:dyDescent="0.25">
      <c r="A3" s="294" t="s">
        <v>562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95"/>
    </row>
    <row r="4" spans="1:13" ht="13.8" thickBot="1" x14ac:dyDescent="0.3">
      <c r="A4" s="296" t="s">
        <v>561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8"/>
    </row>
    <row r="5" spans="1:13" x14ac:dyDescent="0.25">
      <c r="A5" s="150"/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</row>
    <row r="6" spans="1:13" x14ac:dyDescent="0.25">
      <c r="A6" s="143"/>
      <c r="B6" s="143"/>
      <c r="C6" s="143"/>
      <c r="D6" s="143"/>
      <c r="E6" s="143"/>
      <c r="F6" s="143"/>
      <c r="G6" s="126"/>
      <c r="H6" s="143"/>
      <c r="I6" s="143"/>
      <c r="J6" s="143"/>
      <c r="K6" s="143"/>
      <c r="L6" s="143"/>
      <c r="M6" s="143"/>
    </row>
    <row r="7" spans="1:13" x14ac:dyDescent="0.25">
      <c r="A7" s="277" t="s">
        <v>488</v>
      </c>
      <c r="B7" s="278"/>
      <c r="C7" s="278"/>
      <c r="D7" s="278"/>
      <c r="E7" s="278"/>
      <c r="F7" s="279"/>
      <c r="G7" s="127"/>
      <c r="H7" s="277" t="s">
        <v>488</v>
      </c>
      <c r="I7" s="278"/>
      <c r="J7" s="278"/>
      <c r="K7" s="278"/>
      <c r="L7" s="278"/>
      <c r="M7" s="279"/>
    </row>
    <row r="8" spans="1:13" x14ac:dyDescent="0.25">
      <c r="A8" s="280" t="s">
        <v>543</v>
      </c>
      <c r="B8" s="281"/>
      <c r="C8" s="281"/>
      <c r="D8" s="281"/>
      <c r="E8" s="281"/>
      <c r="F8" s="282"/>
      <c r="G8" s="127"/>
      <c r="H8" s="280" t="s">
        <v>544</v>
      </c>
      <c r="I8" s="281"/>
      <c r="J8" s="281"/>
      <c r="K8" s="281"/>
      <c r="L8" s="281"/>
      <c r="M8" s="282"/>
    </row>
    <row r="9" spans="1:13" x14ac:dyDescent="0.25">
      <c r="A9" s="268" t="s">
        <v>355</v>
      </c>
      <c r="B9" s="269"/>
      <c r="C9" s="128" t="s">
        <v>292</v>
      </c>
      <c r="D9" s="128" t="s">
        <v>293</v>
      </c>
      <c r="E9" s="128" t="s">
        <v>294</v>
      </c>
      <c r="F9" s="128" t="s">
        <v>295</v>
      </c>
      <c r="G9" s="126"/>
      <c r="H9" s="268" t="s">
        <v>355</v>
      </c>
      <c r="I9" s="269"/>
      <c r="J9" s="128" t="s">
        <v>292</v>
      </c>
      <c r="K9" s="128" t="s">
        <v>293</v>
      </c>
      <c r="L9" s="128" t="s">
        <v>294</v>
      </c>
      <c r="M9" s="128" t="s">
        <v>295</v>
      </c>
    </row>
    <row r="10" spans="1:13" x14ac:dyDescent="0.25">
      <c r="A10" s="129" t="s">
        <v>491</v>
      </c>
      <c r="B10" s="130" t="s">
        <v>492</v>
      </c>
      <c r="C10" s="131" t="s">
        <v>300</v>
      </c>
      <c r="D10" s="130">
        <f>1*1.04</f>
        <v>1.04</v>
      </c>
      <c r="E10" s="132">
        <f>'Precios de Mat.'!$B30</f>
        <v>0</v>
      </c>
      <c r="F10" s="132">
        <f>D10*E10</f>
        <v>0</v>
      </c>
      <c r="G10" s="133"/>
      <c r="H10" s="129" t="s">
        <v>493</v>
      </c>
      <c r="I10" s="130" t="s">
        <v>494</v>
      </c>
      <c r="J10" s="131" t="s">
        <v>300</v>
      </c>
      <c r="K10" s="130">
        <f>1*1.06</f>
        <v>1.06</v>
      </c>
      <c r="L10" s="132">
        <f>'Precios de Mat.'!B33</f>
        <v>0</v>
      </c>
      <c r="M10" s="132">
        <f>K10*L10</f>
        <v>0</v>
      </c>
    </row>
    <row r="11" spans="1:13" x14ac:dyDescent="0.25">
      <c r="A11" s="129" t="s">
        <v>495</v>
      </c>
      <c r="B11" s="130" t="s">
        <v>496</v>
      </c>
      <c r="C11" s="131" t="s">
        <v>300</v>
      </c>
      <c r="D11" s="130">
        <f>43*1.07</f>
        <v>46.010000000000005</v>
      </c>
      <c r="E11" s="132">
        <f>'Precios de Mat.'!$B$27</f>
        <v>0</v>
      </c>
      <c r="F11" s="132">
        <f>D11*E11</f>
        <v>0</v>
      </c>
      <c r="G11" s="133"/>
      <c r="H11" s="129" t="s">
        <v>495</v>
      </c>
      <c r="I11" s="130" t="s">
        <v>497</v>
      </c>
      <c r="J11" s="131" t="s">
        <v>300</v>
      </c>
      <c r="K11" s="130">
        <f>18*1.07</f>
        <v>19.260000000000002</v>
      </c>
      <c r="L11" s="132">
        <f>'Precios de Mat.'!$B$27</f>
        <v>0</v>
      </c>
      <c r="M11" s="132">
        <f>K11*L11</f>
        <v>0</v>
      </c>
    </row>
    <row r="12" spans="1:13" x14ac:dyDescent="0.25">
      <c r="A12" s="129"/>
      <c r="B12" s="134"/>
      <c r="C12" s="131"/>
      <c r="D12" s="135"/>
      <c r="E12" s="132"/>
      <c r="F12" s="132"/>
      <c r="G12" s="133"/>
      <c r="H12" s="129"/>
      <c r="I12" s="134"/>
      <c r="J12" s="131"/>
      <c r="K12" s="135"/>
      <c r="L12" s="132"/>
      <c r="M12" s="132"/>
    </row>
    <row r="13" spans="1:13" x14ac:dyDescent="0.25">
      <c r="A13" s="129"/>
      <c r="B13" s="136"/>
      <c r="C13" s="131"/>
      <c r="D13" s="137"/>
      <c r="E13" s="148"/>
      <c r="F13" s="132"/>
      <c r="G13" s="133"/>
      <c r="H13" s="129"/>
      <c r="I13" s="136"/>
      <c r="J13" s="131"/>
      <c r="K13" s="137"/>
      <c r="L13" s="148"/>
      <c r="M13" s="132"/>
    </row>
    <row r="14" spans="1:13" x14ac:dyDescent="0.25">
      <c r="A14" s="270" t="s">
        <v>305</v>
      </c>
      <c r="B14" s="271"/>
      <c r="C14" s="271"/>
      <c r="D14" s="271"/>
      <c r="E14" s="272"/>
      <c r="F14" s="132">
        <f>F10+F11</f>
        <v>0</v>
      </c>
      <c r="G14" s="133"/>
      <c r="H14" s="270" t="s">
        <v>305</v>
      </c>
      <c r="I14" s="271"/>
      <c r="J14" s="271"/>
      <c r="K14" s="271"/>
      <c r="L14" s="272"/>
      <c r="M14" s="132">
        <f>M10+M11</f>
        <v>0</v>
      </c>
    </row>
    <row r="15" spans="1:13" x14ac:dyDescent="0.25">
      <c r="A15" s="283" t="s">
        <v>306</v>
      </c>
      <c r="B15" s="284"/>
      <c r="C15" s="284"/>
      <c r="D15" s="284"/>
      <c r="E15" s="284"/>
      <c r="F15" s="285"/>
      <c r="G15" s="133"/>
      <c r="H15" s="283" t="s">
        <v>306</v>
      </c>
      <c r="I15" s="284"/>
      <c r="J15" s="284"/>
      <c r="K15" s="284"/>
      <c r="L15" s="284"/>
      <c r="M15" s="285"/>
    </row>
    <row r="16" spans="1:13" x14ac:dyDescent="0.25">
      <c r="A16" s="129" t="s">
        <v>552</v>
      </c>
      <c r="B16" s="130"/>
      <c r="C16" s="131" t="s">
        <v>69</v>
      </c>
      <c r="D16" s="142">
        <f>1/0.12</f>
        <v>8.3333333333333339</v>
      </c>
      <c r="E16" s="132">
        <f>Cuadrillas!$E$201</f>
        <v>0</v>
      </c>
      <c r="F16" s="132">
        <f>D16*E16</f>
        <v>0</v>
      </c>
      <c r="G16" s="133"/>
      <c r="H16" s="129" t="s">
        <v>553</v>
      </c>
      <c r="I16" s="130"/>
      <c r="J16" s="131" t="s">
        <v>69</v>
      </c>
      <c r="K16" s="142">
        <f>1/0.18</f>
        <v>5.5555555555555554</v>
      </c>
      <c r="L16" s="132">
        <f>Cuadrillas!$E$201</f>
        <v>0</v>
      </c>
      <c r="M16" s="132">
        <f>K16*L16</f>
        <v>0</v>
      </c>
    </row>
    <row r="17" spans="1:13" x14ac:dyDescent="0.25">
      <c r="A17" s="138"/>
      <c r="B17" s="130"/>
      <c r="C17" s="151"/>
      <c r="D17" s="130"/>
      <c r="E17" s="132"/>
      <c r="F17" s="132"/>
      <c r="G17" s="133"/>
      <c r="H17" s="138"/>
      <c r="I17" s="130"/>
      <c r="J17" s="151"/>
      <c r="K17" s="130"/>
      <c r="L17" s="132"/>
      <c r="M17" s="132"/>
    </row>
    <row r="18" spans="1:13" x14ac:dyDescent="0.25">
      <c r="A18" s="138"/>
      <c r="B18" s="130"/>
      <c r="C18" s="151"/>
      <c r="D18" s="130"/>
      <c r="E18" s="132"/>
      <c r="F18" s="132"/>
      <c r="G18" s="139"/>
      <c r="H18" s="138"/>
      <c r="I18" s="130"/>
      <c r="J18" s="151"/>
      <c r="K18" s="130"/>
      <c r="L18" s="132"/>
      <c r="M18" s="132"/>
    </row>
    <row r="19" spans="1:13" x14ac:dyDescent="0.25">
      <c r="A19" s="270" t="s">
        <v>305</v>
      </c>
      <c r="B19" s="271"/>
      <c r="C19" s="271"/>
      <c r="D19" s="271"/>
      <c r="E19" s="272"/>
      <c r="F19" s="132">
        <f>F16+F17+F18</f>
        <v>0</v>
      </c>
      <c r="G19" s="139"/>
      <c r="H19" s="270" t="s">
        <v>305</v>
      </c>
      <c r="I19" s="271"/>
      <c r="J19" s="271"/>
      <c r="K19" s="271"/>
      <c r="L19" s="272"/>
      <c r="M19" s="132">
        <f>M16+M17+M18</f>
        <v>0</v>
      </c>
    </row>
    <row r="20" spans="1:13" x14ac:dyDescent="0.25">
      <c r="A20" s="273" t="s">
        <v>307</v>
      </c>
      <c r="B20" s="274"/>
      <c r="C20" s="271"/>
      <c r="D20" s="271"/>
      <c r="E20" s="272"/>
      <c r="F20" s="132">
        <f>F14+F19</f>
        <v>0</v>
      </c>
      <c r="G20" s="133"/>
      <c r="H20" s="273" t="s">
        <v>307</v>
      </c>
      <c r="I20" s="274"/>
      <c r="J20" s="271"/>
      <c r="K20" s="271"/>
      <c r="L20" s="272"/>
      <c r="M20" s="132">
        <f>M14+M19</f>
        <v>0</v>
      </c>
    </row>
    <row r="21" spans="1:13" x14ac:dyDescent="0.25">
      <c r="A21" s="133"/>
      <c r="B21" s="133"/>
      <c r="C21" s="140"/>
      <c r="D21" s="140"/>
      <c r="E21" s="133"/>
      <c r="F21" s="133"/>
      <c r="G21" s="133"/>
      <c r="H21" s="133"/>
      <c r="I21" s="133"/>
      <c r="J21" s="133"/>
      <c r="K21" s="133"/>
      <c r="L21" s="133"/>
      <c r="M21" s="133"/>
    </row>
    <row r="22" spans="1:13" x14ac:dyDescent="0.25">
      <c r="A22" s="133"/>
      <c r="B22" s="133"/>
      <c r="C22" s="140"/>
      <c r="D22" s="140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x14ac:dyDescent="0.25">
      <c r="A23" s="144"/>
      <c r="B23" s="144"/>
      <c r="C23" s="145"/>
      <c r="D23" s="145"/>
      <c r="E23" s="144"/>
      <c r="F23" s="144"/>
      <c r="G23" s="133"/>
      <c r="H23" s="144"/>
      <c r="I23" s="144"/>
      <c r="J23" s="144"/>
      <c r="K23" s="144"/>
      <c r="L23" s="144"/>
      <c r="M23" s="144"/>
    </row>
    <row r="24" spans="1:13" x14ac:dyDescent="0.25">
      <c r="A24" s="277" t="s">
        <v>488</v>
      </c>
      <c r="B24" s="278"/>
      <c r="C24" s="278"/>
      <c r="D24" s="278"/>
      <c r="E24" s="278"/>
      <c r="F24" s="279"/>
      <c r="G24" s="140"/>
      <c r="H24" s="277" t="s">
        <v>488</v>
      </c>
      <c r="I24" s="278"/>
      <c r="J24" s="278"/>
      <c r="K24" s="278"/>
      <c r="L24" s="278"/>
      <c r="M24" s="279"/>
    </row>
    <row r="25" spans="1:13" x14ac:dyDescent="0.25">
      <c r="A25" s="280" t="s">
        <v>545</v>
      </c>
      <c r="B25" s="281"/>
      <c r="C25" s="281"/>
      <c r="D25" s="281"/>
      <c r="E25" s="281"/>
      <c r="F25" s="282"/>
      <c r="G25" s="140"/>
      <c r="H25" s="280" t="s">
        <v>546</v>
      </c>
      <c r="I25" s="281"/>
      <c r="J25" s="281"/>
      <c r="K25" s="281"/>
      <c r="L25" s="281"/>
      <c r="M25" s="282"/>
    </row>
    <row r="26" spans="1:13" x14ac:dyDescent="0.25">
      <c r="A26" s="268" t="s">
        <v>355</v>
      </c>
      <c r="B26" s="269"/>
      <c r="C26" s="128" t="s">
        <v>292</v>
      </c>
      <c r="D26" s="128" t="s">
        <v>293</v>
      </c>
      <c r="E26" s="128" t="s">
        <v>294</v>
      </c>
      <c r="F26" s="128" t="s">
        <v>295</v>
      </c>
      <c r="G26" s="133"/>
      <c r="H26" s="268" t="s">
        <v>355</v>
      </c>
      <c r="I26" s="269"/>
      <c r="J26" s="128" t="s">
        <v>292</v>
      </c>
      <c r="K26" s="128" t="s">
        <v>293</v>
      </c>
      <c r="L26" s="128" t="s">
        <v>294</v>
      </c>
      <c r="M26" s="128" t="s">
        <v>295</v>
      </c>
    </row>
    <row r="27" spans="1:13" x14ac:dyDescent="0.25">
      <c r="A27" s="129" t="s">
        <v>500</v>
      </c>
      <c r="B27" s="130" t="s">
        <v>436</v>
      </c>
      <c r="C27" s="131" t="s">
        <v>300</v>
      </c>
      <c r="D27" s="130">
        <f>1*1.05</f>
        <v>1.05</v>
      </c>
      <c r="E27" s="132">
        <f>'Precios de Mat.'!B31</f>
        <v>0</v>
      </c>
      <c r="F27" s="132">
        <f>D27*E27</f>
        <v>0</v>
      </c>
      <c r="G27" s="133"/>
      <c r="H27" s="129" t="s">
        <v>501</v>
      </c>
      <c r="I27" s="130" t="s">
        <v>494</v>
      </c>
      <c r="J27" s="131" t="s">
        <v>300</v>
      </c>
      <c r="K27" s="130">
        <f>1*1.06</f>
        <v>1.06</v>
      </c>
      <c r="L27" s="132">
        <f>'Precios de Mat.'!B34</f>
        <v>0</v>
      </c>
      <c r="M27" s="132">
        <f>K27*L27</f>
        <v>0</v>
      </c>
    </row>
    <row r="28" spans="1:13" x14ac:dyDescent="0.25">
      <c r="A28" s="129" t="s">
        <v>495</v>
      </c>
      <c r="B28" s="130" t="s">
        <v>502</v>
      </c>
      <c r="C28" s="131" t="s">
        <v>300</v>
      </c>
      <c r="D28" s="130">
        <f>28*1.07</f>
        <v>29.96</v>
      </c>
      <c r="E28" s="132">
        <f>'Precios de Mat.'!$B$27</f>
        <v>0</v>
      </c>
      <c r="F28" s="132">
        <f>D28*E28</f>
        <v>0</v>
      </c>
      <c r="G28" s="133"/>
      <c r="H28" s="129" t="s">
        <v>495</v>
      </c>
      <c r="I28" s="130" t="s">
        <v>503</v>
      </c>
      <c r="J28" s="131" t="s">
        <v>300</v>
      </c>
      <c r="K28" s="130">
        <f>16*1.07</f>
        <v>17.12</v>
      </c>
      <c r="L28" s="132">
        <v>8</v>
      </c>
      <c r="M28" s="132">
        <f>K28*L28</f>
        <v>136.96</v>
      </c>
    </row>
    <row r="29" spans="1:13" x14ac:dyDescent="0.25">
      <c r="A29" s="129"/>
      <c r="B29" s="134"/>
      <c r="C29" s="131"/>
      <c r="D29" s="135"/>
      <c r="E29" s="132"/>
      <c r="F29" s="132"/>
      <c r="G29" s="133"/>
      <c r="H29" s="129"/>
      <c r="I29" s="134"/>
      <c r="J29" s="131"/>
      <c r="K29" s="135"/>
      <c r="L29" s="132"/>
      <c r="M29" s="132"/>
    </row>
    <row r="30" spans="1:13" x14ac:dyDescent="0.25">
      <c r="A30" s="129"/>
      <c r="B30" s="136"/>
      <c r="C30" s="131"/>
      <c r="D30" s="137"/>
      <c r="E30" s="148"/>
      <c r="F30" s="132"/>
      <c r="G30" s="133"/>
      <c r="H30" s="129"/>
      <c r="I30" s="136"/>
      <c r="J30" s="131"/>
      <c r="K30" s="137"/>
      <c r="L30" s="148"/>
      <c r="M30" s="132"/>
    </row>
    <row r="31" spans="1:13" x14ac:dyDescent="0.25">
      <c r="A31" s="270" t="s">
        <v>305</v>
      </c>
      <c r="B31" s="271"/>
      <c r="C31" s="271"/>
      <c r="D31" s="271"/>
      <c r="E31" s="272"/>
      <c r="F31" s="132">
        <f>F27+F28</f>
        <v>0</v>
      </c>
      <c r="G31" s="133"/>
      <c r="H31" s="270" t="s">
        <v>305</v>
      </c>
      <c r="I31" s="271"/>
      <c r="J31" s="271"/>
      <c r="K31" s="271"/>
      <c r="L31" s="272"/>
      <c r="M31" s="132">
        <f>M27+M28</f>
        <v>136.96</v>
      </c>
    </row>
    <row r="32" spans="1:13" x14ac:dyDescent="0.25">
      <c r="A32" s="283" t="s">
        <v>306</v>
      </c>
      <c r="B32" s="284"/>
      <c r="C32" s="284"/>
      <c r="D32" s="284"/>
      <c r="E32" s="284"/>
      <c r="F32" s="285"/>
      <c r="G32" s="133"/>
      <c r="H32" s="283" t="s">
        <v>306</v>
      </c>
      <c r="I32" s="284"/>
      <c r="J32" s="284"/>
      <c r="K32" s="284"/>
      <c r="L32" s="284"/>
      <c r="M32" s="285"/>
    </row>
    <row r="33" spans="1:13" x14ac:dyDescent="0.25">
      <c r="A33" s="129" t="s">
        <v>558</v>
      </c>
      <c r="B33" s="130"/>
      <c r="C33" s="131" t="s">
        <v>69</v>
      </c>
      <c r="D33" s="142">
        <f>1/0.14</f>
        <v>7.1428571428571423</v>
      </c>
      <c r="E33" s="132">
        <f>Cuadrillas!$E$201</f>
        <v>0</v>
      </c>
      <c r="F33" s="132">
        <f>D33*E33</f>
        <v>0</v>
      </c>
      <c r="G33" s="133"/>
      <c r="H33" s="129" t="s">
        <v>535</v>
      </c>
      <c r="I33" s="130"/>
      <c r="J33" s="131" t="s">
        <v>69</v>
      </c>
      <c r="K33" s="142">
        <f>1/0.2</f>
        <v>5</v>
      </c>
      <c r="L33" s="132">
        <f>Cuadrillas!$E$201</f>
        <v>0</v>
      </c>
      <c r="M33" s="132">
        <f>K33*L33</f>
        <v>0</v>
      </c>
    </row>
    <row r="34" spans="1:13" x14ac:dyDescent="0.25">
      <c r="A34" s="138"/>
      <c r="B34" s="130"/>
      <c r="C34" s="151"/>
      <c r="D34" s="130"/>
      <c r="E34" s="132"/>
      <c r="F34" s="132"/>
      <c r="G34" s="133"/>
      <c r="H34" s="138"/>
      <c r="I34" s="130"/>
      <c r="J34" s="151"/>
      <c r="K34" s="130"/>
      <c r="L34" s="132"/>
      <c r="M34" s="132"/>
    </row>
    <row r="35" spans="1:13" x14ac:dyDescent="0.25">
      <c r="A35" s="138"/>
      <c r="B35" s="130"/>
      <c r="C35" s="151"/>
      <c r="D35" s="130"/>
      <c r="E35" s="132"/>
      <c r="F35" s="132"/>
      <c r="G35" s="139"/>
      <c r="H35" s="138"/>
      <c r="I35" s="130"/>
      <c r="J35" s="151"/>
      <c r="K35" s="130"/>
      <c r="L35" s="132"/>
      <c r="M35" s="132"/>
    </row>
    <row r="36" spans="1:13" x14ac:dyDescent="0.25">
      <c r="A36" s="270" t="s">
        <v>305</v>
      </c>
      <c r="B36" s="271"/>
      <c r="C36" s="271"/>
      <c r="D36" s="271"/>
      <c r="E36" s="272"/>
      <c r="F36" s="132">
        <f>F33+F34+F35</f>
        <v>0</v>
      </c>
      <c r="G36" s="139"/>
      <c r="H36" s="270" t="s">
        <v>305</v>
      </c>
      <c r="I36" s="271"/>
      <c r="J36" s="271"/>
      <c r="K36" s="271"/>
      <c r="L36" s="272"/>
      <c r="M36" s="132">
        <f>M33+M34+M35</f>
        <v>0</v>
      </c>
    </row>
    <row r="37" spans="1:13" x14ac:dyDescent="0.25">
      <c r="A37" s="273" t="s">
        <v>307</v>
      </c>
      <c r="B37" s="274"/>
      <c r="C37" s="271"/>
      <c r="D37" s="271"/>
      <c r="E37" s="272"/>
      <c r="F37" s="132">
        <f>F31+F36</f>
        <v>0</v>
      </c>
      <c r="G37" s="133"/>
      <c r="H37" s="273" t="s">
        <v>307</v>
      </c>
      <c r="I37" s="274"/>
      <c r="J37" s="271"/>
      <c r="K37" s="271"/>
      <c r="L37" s="272"/>
      <c r="M37" s="132">
        <f>M31+M36</f>
        <v>136.96</v>
      </c>
    </row>
    <row r="38" spans="1:13" x14ac:dyDescent="0.25">
      <c r="A38" s="133"/>
      <c r="B38" s="133"/>
      <c r="C38" s="133"/>
      <c r="D38" s="133"/>
      <c r="E38" s="133"/>
      <c r="F38" s="133"/>
      <c r="G38" s="141"/>
      <c r="H38" s="133"/>
      <c r="I38" s="133"/>
      <c r="J38" s="133"/>
      <c r="K38" s="133"/>
      <c r="L38" s="133"/>
      <c r="M38" s="133"/>
    </row>
    <row r="39" spans="1:13" x14ac:dyDescent="0.25">
      <c r="A39" s="133"/>
      <c r="B39" s="133"/>
      <c r="C39" s="133"/>
      <c r="D39" s="133"/>
      <c r="E39" s="133"/>
      <c r="F39" s="133"/>
      <c r="G39" s="141"/>
      <c r="H39" s="133"/>
      <c r="I39" s="133"/>
      <c r="J39" s="133"/>
      <c r="K39" s="133"/>
      <c r="L39" s="133"/>
      <c r="M39" s="133"/>
    </row>
    <row r="40" spans="1:13" x14ac:dyDescent="0.25">
      <c r="A40" s="144"/>
      <c r="B40" s="144"/>
      <c r="C40" s="144"/>
      <c r="D40" s="144"/>
      <c r="E40" s="144"/>
      <c r="F40" s="144"/>
      <c r="G40" s="141"/>
      <c r="H40" s="144"/>
      <c r="I40" s="144"/>
      <c r="J40" s="144"/>
      <c r="K40" s="144"/>
      <c r="L40" s="144"/>
      <c r="M40" s="144"/>
    </row>
    <row r="41" spans="1:13" x14ac:dyDescent="0.25">
      <c r="A41" s="277" t="s">
        <v>488</v>
      </c>
      <c r="B41" s="278"/>
      <c r="C41" s="278"/>
      <c r="D41" s="278"/>
      <c r="E41" s="278"/>
      <c r="F41" s="279"/>
      <c r="G41" s="140"/>
      <c r="H41" s="277" t="s">
        <v>488</v>
      </c>
      <c r="I41" s="278"/>
      <c r="J41" s="278"/>
      <c r="K41" s="278"/>
      <c r="L41" s="278"/>
      <c r="M41" s="279"/>
    </row>
    <row r="42" spans="1:13" x14ac:dyDescent="0.25">
      <c r="A42" s="280" t="s">
        <v>547</v>
      </c>
      <c r="B42" s="281"/>
      <c r="C42" s="281"/>
      <c r="D42" s="281"/>
      <c r="E42" s="281"/>
      <c r="F42" s="282"/>
      <c r="G42" s="140"/>
      <c r="H42" s="280" t="s">
        <v>548</v>
      </c>
      <c r="I42" s="281"/>
      <c r="J42" s="281"/>
      <c r="K42" s="281"/>
      <c r="L42" s="281"/>
      <c r="M42" s="282"/>
    </row>
    <row r="43" spans="1:13" x14ac:dyDescent="0.25">
      <c r="A43" s="268" t="s">
        <v>355</v>
      </c>
      <c r="B43" s="269"/>
      <c r="C43" s="128" t="s">
        <v>292</v>
      </c>
      <c r="D43" s="128" t="s">
        <v>293</v>
      </c>
      <c r="E43" s="128" t="s">
        <v>294</v>
      </c>
      <c r="F43" s="128" t="s">
        <v>295</v>
      </c>
      <c r="G43" s="133"/>
      <c r="H43" s="268" t="s">
        <v>355</v>
      </c>
      <c r="I43" s="269"/>
      <c r="J43" s="128" t="s">
        <v>292</v>
      </c>
      <c r="K43" s="128" t="s">
        <v>293</v>
      </c>
      <c r="L43" s="128" t="s">
        <v>294</v>
      </c>
      <c r="M43" s="128" t="s">
        <v>295</v>
      </c>
    </row>
    <row r="44" spans="1:13" x14ac:dyDescent="0.25">
      <c r="A44" s="129" t="s">
        <v>506</v>
      </c>
      <c r="B44" s="130" t="s">
        <v>494</v>
      </c>
      <c r="C44" s="131" t="s">
        <v>300</v>
      </c>
      <c r="D44" s="130">
        <f>1*1.06</f>
        <v>1.06</v>
      </c>
      <c r="E44" s="132">
        <f>'Precios de Mat.'!$B32</f>
        <v>0</v>
      </c>
      <c r="F44" s="132">
        <f>D44*E44</f>
        <v>0</v>
      </c>
      <c r="G44" s="133"/>
      <c r="H44" s="129" t="s">
        <v>507</v>
      </c>
      <c r="I44" s="130" t="s">
        <v>494</v>
      </c>
      <c r="J44" s="131" t="s">
        <v>300</v>
      </c>
      <c r="K44" s="130">
        <f>1*1.06</f>
        <v>1.06</v>
      </c>
      <c r="L44" s="132">
        <f>'Precios de Mat.'!$B35</f>
        <v>0</v>
      </c>
      <c r="M44" s="132">
        <f>K44*L44</f>
        <v>0</v>
      </c>
    </row>
    <row r="45" spans="1:13" x14ac:dyDescent="0.25">
      <c r="A45" s="129" t="s">
        <v>495</v>
      </c>
      <c r="B45" s="130" t="s">
        <v>508</v>
      </c>
      <c r="C45" s="131" t="s">
        <v>300</v>
      </c>
      <c r="D45" s="130">
        <f>22*1.07</f>
        <v>23.540000000000003</v>
      </c>
      <c r="E45" s="132">
        <f>'Precios de Mat.'!$B$27</f>
        <v>0</v>
      </c>
      <c r="F45" s="132">
        <f>D45*E45</f>
        <v>0</v>
      </c>
      <c r="G45" s="133"/>
      <c r="H45" s="129" t="s">
        <v>495</v>
      </c>
      <c r="I45" s="130" t="s">
        <v>509</v>
      </c>
      <c r="J45" s="131" t="s">
        <v>300</v>
      </c>
      <c r="K45" s="130">
        <f>10*1.07</f>
        <v>10.700000000000001</v>
      </c>
      <c r="L45" s="132">
        <f>'Precios de Mat.'!$B$27</f>
        <v>0</v>
      </c>
      <c r="M45" s="132">
        <f>K45*L45</f>
        <v>0</v>
      </c>
    </row>
    <row r="46" spans="1:13" x14ac:dyDescent="0.25">
      <c r="A46" s="129"/>
      <c r="B46" s="134"/>
      <c r="C46" s="131"/>
      <c r="D46" s="135"/>
      <c r="E46" s="132"/>
      <c r="F46" s="132"/>
      <c r="G46" s="133"/>
      <c r="H46" s="129"/>
      <c r="I46" s="134"/>
      <c r="J46" s="131"/>
      <c r="K46" s="135"/>
      <c r="L46" s="132"/>
      <c r="M46" s="132"/>
    </row>
    <row r="47" spans="1:13" x14ac:dyDescent="0.25">
      <c r="A47" s="129"/>
      <c r="B47" s="136"/>
      <c r="C47" s="131"/>
      <c r="D47" s="137"/>
      <c r="E47" s="148"/>
      <c r="F47" s="132"/>
      <c r="G47" s="133"/>
      <c r="H47" s="129"/>
      <c r="I47" s="136"/>
      <c r="J47" s="131"/>
      <c r="K47" s="137"/>
      <c r="L47" s="148"/>
      <c r="M47" s="132"/>
    </row>
    <row r="48" spans="1:13" x14ac:dyDescent="0.25">
      <c r="A48" s="270" t="s">
        <v>305</v>
      </c>
      <c r="B48" s="271"/>
      <c r="C48" s="271"/>
      <c r="D48" s="271"/>
      <c r="E48" s="272"/>
      <c r="F48" s="132">
        <f>F44+F45</f>
        <v>0</v>
      </c>
      <c r="G48" s="133"/>
      <c r="H48" s="270" t="s">
        <v>305</v>
      </c>
      <c r="I48" s="271"/>
      <c r="J48" s="271"/>
      <c r="K48" s="271"/>
      <c r="L48" s="272"/>
      <c r="M48" s="132">
        <f>M44+M45</f>
        <v>0</v>
      </c>
    </row>
    <row r="49" spans="1:13" x14ac:dyDescent="0.25">
      <c r="A49" s="283" t="s">
        <v>306</v>
      </c>
      <c r="B49" s="284"/>
      <c r="C49" s="284"/>
      <c r="D49" s="284"/>
      <c r="E49" s="284"/>
      <c r="F49" s="285"/>
      <c r="G49" s="133"/>
      <c r="H49" s="283" t="s">
        <v>306</v>
      </c>
      <c r="I49" s="284"/>
      <c r="J49" s="284"/>
      <c r="K49" s="284"/>
      <c r="L49" s="284"/>
      <c r="M49" s="285"/>
    </row>
    <row r="50" spans="1:13" x14ac:dyDescent="0.25">
      <c r="A50" s="129" t="s">
        <v>557</v>
      </c>
      <c r="B50" s="130"/>
      <c r="C50" s="131" t="s">
        <v>69</v>
      </c>
      <c r="D50" s="142">
        <f>1/0.16</f>
        <v>6.25</v>
      </c>
      <c r="E50" s="132">
        <f>Cuadrillas!$E$201</f>
        <v>0</v>
      </c>
      <c r="F50" s="132">
        <f>D50*E50</f>
        <v>0</v>
      </c>
      <c r="G50" s="133"/>
      <c r="H50" s="129" t="s">
        <v>536</v>
      </c>
      <c r="I50" s="130"/>
      <c r="J50" s="131" t="s">
        <v>69</v>
      </c>
      <c r="K50" s="142">
        <f>1/0.22</f>
        <v>4.5454545454545459</v>
      </c>
      <c r="L50" s="132">
        <f>Cuadrillas!$E$201</f>
        <v>0</v>
      </c>
      <c r="M50" s="132">
        <f>K50*L50</f>
        <v>0</v>
      </c>
    </row>
    <row r="51" spans="1:13" x14ac:dyDescent="0.25">
      <c r="A51" s="138"/>
      <c r="B51" s="130"/>
      <c r="C51" s="151"/>
      <c r="D51" s="130"/>
      <c r="E51" s="132"/>
      <c r="F51" s="132"/>
      <c r="G51" s="133"/>
      <c r="H51" s="138"/>
      <c r="I51" s="130"/>
      <c r="J51" s="151"/>
      <c r="K51" s="130"/>
      <c r="L51" s="132"/>
      <c r="M51" s="132"/>
    </row>
    <row r="52" spans="1:13" x14ac:dyDescent="0.25">
      <c r="A52" s="138"/>
      <c r="B52" s="130"/>
      <c r="C52" s="151"/>
      <c r="D52" s="130"/>
      <c r="E52" s="132"/>
      <c r="F52" s="132"/>
      <c r="G52" s="139"/>
      <c r="H52" s="138"/>
      <c r="I52" s="130"/>
      <c r="J52" s="151"/>
      <c r="K52" s="130"/>
      <c r="L52" s="132"/>
      <c r="M52" s="132"/>
    </row>
    <row r="53" spans="1:13" x14ac:dyDescent="0.25">
      <c r="A53" s="270" t="s">
        <v>305</v>
      </c>
      <c r="B53" s="271"/>
      <c r="C53" s="271"/>
      <c r="D53" s="271"/>
      <c r="E53" s="272"/>
      <c r="F53" s="132">
        <f>F50+F51+F52</f>
        <v>0</v>
      </c>
      <c r="G53" s="139"/>
      <c r="H53" s="270" t="s">
        <v>305</v>
      </c>
      <c r="I53" s="271"/>
      <c r="J53" s="271"/>
      <c r="K53" s="271"/>
      <c r="L53" s="272"/>
      <c r="M53" s="132">
        <f>M50+M51+M52</f>
        <v>0</v>
      </c>
    </row>
    <row r="54" spans="1:13" x14ac:dyDescent="0.25">
      <c r="A54" s="273" t="s">
        <v>307</v>
      </c>
      <c r="B54" s="274"/>
      <c r="C54" s="271"/>
      <c r="D54" s="271"/>
      <c r="E54" s="272"/>
      <c r="F54" s="132">
        <f>F48+F53</f>
        <v>0</v>
      </c>
      <c r="G54" s="133"/>
      <c r="H54" s="273" t="s">
        <v>307</v>
      </c>
      <c r="I54" s="274"/>
      <c r="J54" s="271"/>
      <c r="K54" s="271"/>
      <c r="L54" s="272"/>
      <c r="M54" s="132">
        <f>M48+M53</f>
        <v>0</v>
      </c>
    </row>
    <row r="55" spans="1:13" x14ac:dyDescent="0.25">
      <c r="A55" s="133"/>
      <c r="B55" s="133"/>
      <c r="C55" s="133"/>
      <c r="D55" s="133"/>
      <c r="E55" s="133"/>
      <c r="F55" s="133"/>
      <c r="G55" s="141"/>
      <c r="H55" s="133"/>
      <c r="I55" s="133"/>
      <c r="J55" s="133"/>
      <c r="K55" s="133"/>
      <c r="L55" s="133"/>
      <c r="M55" s="133"/>
    </row>
    <row r="56" spans="1:13" x14ac:dyDescent="0.25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</row>
    <row r="57" spans="1:13" x14ac:dyDescent="0.25">
      <c r="A57" s="144"/>
      <c r="B57" s="144"/>
      <c r="C57" s="144"/>
      <c r="D57" s="144"/>
      <c r="E57" s="144"/>
      <c r="F57" s="144"/>
      <c r="G57" s="144"/>
      <c r="H57" s="144"/>
      <c r="I57" s="144"/>
      <c r="J57" s="144"/>
      <c r="K57" s="144"/>
      <c r="L57" s="144"/>
      <c r="M57" s="144"/>
    </row>
    <row r="58" spans="1:13" x14ac:dyDescent="0.25">
      <c r="A58" s="277" t="s">
        <v>488</v>
      </c>
      <c r="B58" s="278"/>
      <c r="C58" s="278"/>
      <c r="D58" s="278"/>
      <c r="E58" s="278"/>
      <c r="F58" s="279"/>
      <c r="G58" s="140"/>
      <c r="H58" s="277" t="s">
        <v>488</v>
      </c>
      <c r="I58" s="278"/>
      <c r="J58" s="278"/>
      <c r="K58" s="278"/>
      <c r="L58" s="278"/>
      <c r="M58" s="279"/>
    </row>
    <row r="59" spans="1:13" x14ac:dyDescent="0.25">
      <c r="A59" s="280" t="s">
        <v>549</v>
      </c>
      <c r="B59" s="281"/>
      <c r="C59" s="281"/>
      <c r="D59" s="281"/>
      <c r="E59" s="281"/>
      <c r="F59" s="282"/>
      <c r="G59" s="140"/>
      <c r="H59" s="280" t="s">
        <v>550</v>
      </c>
      <c r="I59" s="281"/>
      <c r="J59" s="281"/>
      <c r="K59" s="281"/>
      <c r="L59" s="281"/>
      <c r="M59" s="282"/>
    </row>
    <row r="60" spans="1:13" x14ac:dyDescent="0.25">
      <c r="A60" s="268" t="s">
        <v>355</v>
      </c>
      <c r="B60" s="269"/>
      <c r="C60" s="128" t="s">
        <v>292</v>
      </c>
      <c r="D60" s="128" t="s">
        <v>293</v>
      </c>
      <c r="E60" s="128" t="s">
        <v>294</v>
      </c>
      <c r="F60" s="128" t="s">
        <v>295</v>
      </c>
      <c r="G60" s="133"/>
      <c r="H60" s="268" t="s">
        <v>355</v>
      </c>
      <c r="I60" s="269"/>
      <c r="J60" s="128" t="s">
        <v>292</v>
      </c>
      <c r="K60" s="128" t="s">
        <v>293</v>
      </c>
      <c r="L60" s="128" t="s">
        <v>294</v>
      </c>
      <c r="M60" s="128" t="s">
        <v>295</v>
      </c>
    </row>
    <row r="61" spans="1:13" x14ac:dyDescent="0.25">
      <c r="A61" s="129" t="s">
        <v>512</v>
      </c>
      <c r="B61" s="130" t="s">
        <v>513</v>
      </c>
      <c r="C61" s="131" t="s">
        <v>300</v>
      </c>
      <c r="D61" s="130">
        <f>1*1.07</f>
        <v>1.07</v>
      </c>
      <c r="E61" s="132">
        <f>'Precios de Mat.'!$B36</f>
        <v>0</v>
      </c>
      <c r="F61" s="132">
        <f>D61*E61</f>
        <v>0</v>
      </c>
      <c r="G61" s="133"/>
      <c r="H61" s="129" t="s">
        <v>514</v>
      </c>
      <c r="I61" s="130" t="s">
        <v>513</v>
      </c>
      <c r="J61" s="131" t="s">
        <v>300</v>
      </c>
      <c r="K61" s="130">
        <f>1*1.07</f>
        <v>1.07</v>
      </c>
      <c r="L61" s="132">
        <f>'Precios de Mat.'!B38</f>
        <v>0</v>
      </c>
      <c r="M61" s="132">
        <f>K61*L61</f>
        <v>0</v>
      </c>
    </row>
    <row r="62" spans="1:13" x14ac:dyDescent="0.25">
      <c r="A62" s="129" t="s">
        <v>495</v>
      </c>
      <c r="B62" s="130" t="s">
        <v>515</v>
      </c>
      <c r="C62" s="131" t="s">
        <v>300</v>
      </c>
      <c r="D62" s="130">
        <f>15*1.07</f>
        <v>16.05</v>
      </c>
      <c r="E62" s="132">
        <f>'Precios de Mat.'!$B$27</f>
        <v>0</v>
      </c>
      <c r="F62" s="132">
        <f>D62*E62</f>
        <v>0</v>
      </c>
      <c r="G62" s="133"/>
      <c r="H62" s="129" t="s">
        <v>495</v>
      </c>
      <c r="I62" s="130" t="s">
        <v>516</v>
      </c>
      <c r="J62" s="131" t="s">
        <v>300</v>
      </c>
      <c r="K62" s="130">
        <f>14*1.07</f>
        <v>14.98</v>
      </c>
      <c r="L62" s="132">
        <f>'Precios de Mat.'!$B$27</f>
        <v>0</v>
      </c>
      <c r="M62" s="132">
        <f>K62*L62</f>
        <v>0</v>
      </c>
    </row>
    <row r="63" spans="1:13" x14ac:dyDescent="0.25">
      <c r="A63" s="129"/>
      <c r="B63" s="134"/>
      <c r="C63" s="131"/>
      <c r="D63" s="135"/>
      <c r="E63" s="132"/>
      <c r="F63" s="132"/>
      <c r="G63" s="133"/>
      <c r="H63" s="129"/>
      <c r="I63" s="134"/>
      <c r="J63" s="131"/>
      <c r="K63" s="135"/>
      <c r="L63" s="132"/>
      <c r="M63" s="132"/>
    </row>
    <row r="64" spans="1:13" x14ac:dyDescent="0.25">
      <c r="A64" s="129"/>
      <c r="B64" s="136"/>
      <c r="C64" s="131"/>
      <c r="D64" s="137"/>
      <c r="E64" s="148"/>
      <c r="F64" s="132"/>
      <c r="G64" s="133"/>
      <c r="H64" s="129"/>
      <c r="I64" s="136"/>
      <c r="J64" s="131"/>
      <c r="K64" s="137"/>
      <c r="L64" s="148"/>
      <c r="M64" s="132"/>
    </row>
    <row r="65" spans="1:13" x14ac:dyDescent="0.25">
      <c r="A65" s="270" t="s">
        <v>305</v>
      </c>
      <c r="B65" s="271"/>
      <c r="C65" s="271"/>
      <c r="D65" s="271"/>
      <c r="E65" s="272"/>
      <c r="F65" s="132">
        <f>F61+F62</f>
        <v>0</v>
      </c>
      <c r="G65" s="133"/>
      <c r="H65" s="270" t="s">
        <v>305</v>
      </c>
      <c r="I65" s="271"/>
      <c r="J65" s="271"/>
      <c r="K65" s="271"/>
      <c r="L65" s="272"/>
      <c r="M65" s="132">
        <f>M61+M62</f>
        <v>0</v>
      </c>
    </row>
    <row r="66" spans="1:13" x14ac:dyDescent="0.25">
      <c r="A66" s="283" t="s">
        <v>306</v>
      </c>
      <c r="B66" s="284"/>
      <c r="C66" s="284"/>
      <c r="D66" s="284"/>
      <c r="E66" s="284"/>
      <c r="F66" s="285"/>
      <c r="G66" s="133"/>
      <c r="H66" s="283" t="s">
        <v>306</v>
      </c>
      <c r="I66" s="284"/>
      <c r="J66" s="284"/>
      <c r="K66" s="284"/>
      <c r="L66" s="284"/>
      <c r="M66" s="285"/>
    </row>
    <row r="67" spans="1:13" x14ac:dyDescent="0.25">
      <c r="A67" s="129" t="s">
        <v>555</v>
      </c>
      <c r="B67" s="130"/>
      <c r="C67" s="131" t="s">
        <v>69</v>
      </c>
      <c r="D67" s="142">
        <f>1/0.24</f>
        <v>4.166666666666667</v>
      </c>
      <c r="E67" s="132">
        <f>Cuadrillas!$E$201</f>
        <v>0</v>
      </c>
      <c r="F67" s="132">
        <f>D67*E67</f>
        <v>0</v>
      </c>
      <c r="G67" s="133"/>
      <c r="H67" s="129" t="s">
        <v>554</v>
      </c>
      <c r="I67" s="130"/>
      <c r="J67" s="131" t="s">
        <v>69</v>
      </c>
      <c r="K67" s="142">
        <f>1/0.28</f>
        <v>3.5714285714285712</v>
      </c>
      <c r="L67" s="132">
        <f>Cuadrillas!$E$201</f>
        <v>0</v>
      </c>
      <c r="M67" s="132">
        <f>K67*L67</f>
        <v>0</v>
      </c>
    </row>
    <row r="68" spans="1:13" x14ac:dyDescent="0.25">
      <c r="A68" s="138"/>
      <c r="B68" s="130"/>
      <c r="C68" s="151"/>
      <c r="D68" s="130"/>
      <c r="E68" s="132"/>
      <c r="F68" s="132"/>
      <c r="G68" s="133"/>
      <c r="H68" s="138"/>
      <c r="I68" s="130"/>
      <c r="J68" s="151"/>
      <c r="K68" s="130"/>
      <c r="L68" s="132"/>
      <c r="M68" s="132"/>
    </row>
    <row r="69" spans="1:13" x14ac:dyDescent="0.25">
      <c r="A69" s="138"/>
      <c r="B69" s="130"/>
      <c r="C69" s="151"/>
      <c r="D69" s="130"/>
      <c r="E69" s="132"/>
      <c r="F69" s="132"/>
      <c r="G69" s="139"/>
      <c r="H69" s="138"/>
      <c r="I69" s="130"/>
      <c r="J69" s="151"/>
      <c r="K69" s="130"/>
      <c r="L69" s="132"/>
      <c r="M69" s="132"/>
    </row>
    <row r="70" spans="1:13" x14ac:dyDescent="0.25">
      <c r="A70" s="270" t="s">
        <v>305</v>
      </c>
      <c r="B70" s="271"/>
      <c r="C70" s="271"/>
      <c r="D70" s="271"/>
      <c r="E70" s="272"/>
      <c r="F70" s="132">
        <f>F67+F68+F69</f>
        <v>0</v>
      </c>
      <c r="G70" s="139"/>
      <c r="H70" s="270" t="s">
        <v>305</v>
      </c>
      <c r="I70" s="271"/>
      <c r="J70" s="271"/>
      <c r="K70" s="271"/>
      <c r="L70" s="272"/>
      <c r="M70" s="132">
        <f>M67+M68+M69</f>
        <v>0</v>
      </c>
    </row>
    <row r="71" spans="1:13" x14ac:dyDescent="0.25">
      <c r="A71" s="273" t="s">
        <v>307</v>
      </c>
      <c r="B71" s="274"/>
      <c r="C71" s="271"/>
      <c r="D71" s="271"/>
      <c r="E71" s="272"/>
      <c r="F71" s="132">
        <f>F65+F70</f>
        <v>0</v>
      </c>
      <c r="G71" s="133"/>
      <c r="H71" s="273" t="s">
        <v>307</v>
      </c>
      <c r="I71" s="274"/>
      <c r="J71" s="271"/>
      <c r="K71" s="271"/>
      <c r="L71" s="272"/>
      <c r="M71" s="132">
        <f>M65+M70</f>
        <v>0</v>
      </c>
    </row>
    <row r="72" spans="1:13" x14ac:dyDescent="0.25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</row>
    <row r="73" spans="1:13" x14ac:dyDescent="0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3" x14ac:dyDescent="0.25">
      <c r="A74" s="144"/>
      <c r="B74" s="144"/>
      <c r="C74" s="144"/>
      <c r="D74" s="144"/>
      <c r="E74" s="144"/>
      <c r="F74" s="144"/>
      <c r="G74" s="141"/>
      <c r="H74" s="141"/>
      <c r="I74" s="141"/>
      <c r="J74" s="141"/>
      <c r="K74" s="141"/>
      <c r="L74" s="141"/>
      <c r="M74" s="141"/>
    </row>
    <row r="75" spans="1:13" x14ac:dyDescent="0.25">
      <c r="A75" s="277" t="s">
        <v>488</v>
      </c>
      <c r="B75" s="278"/>
      <c r="C75" s="278"/>
      <c r="D75" s="278"/>
      <c r="E75" s="278"/>
      <c r="F75" s="279"/>
      <c r="G75" s="141"/>
      <c r="H75" s="141"/>
      <c r="I75" s="141"/>
      <c r="J75" s="141"/>
      <c r="K75" s="141"/>
      <c r="L75" s="141"/>
      <c r="M75" s="141"/>
    </row>
    <row r="76" spans="1:13" x14ac:dyDescent="0.25">
      <c r="A76" s="280" t="s">
        <v>551</v>
      </c>
      <c r="B76" s="281"/>
      <c r="C76" s="281"/>
      <c r="D76" s="281"/>
      <c r="E76" s="281"/>
      <c r="F76" s="282"/>
      <c r="G76" s="141"/>
      <c r="H76" s="141"/>
      <c r="I76" s="141"/>
      <c r="J76" s="141"/>
      <c r="K76" s="141"/>
      <c r="L76" s="141"/>
      <c r="M76" s="141"/>
    </row>
    <row r="77" spans="1:13" x14ac:dyDescent="0.25">
      <c r="A77" s="268" t="s">
        <v>355</v>
      </c>
      <c r="B77" s="269"/>
      <c r="C77" s="128" t="s">
        <v>292</v>
      </c>
      <c r="D77" s="128" t="s">
        <v>293</v>
      </c>
      <c r="E77" s="128" t="s">
        <v>294</v>
      </c>
      <c r="F77" s="128" t="s">
        <v>295</v>
      </c>
      <c r="G77" s="141"/>
      <c r="H77" s="141"/>
      <c r="I77" s="141"/>
      <c r="J77" s="141"/>
      <c r="K77" s="141"/>
      <c r="L77" s="141"/>
      <c r="M77" s="141"/>
    </row>
    <row r="78" spans="1:13" x14ac:dyDescent="0.25">
      <c r="A78" s="129" t="s">
        <v>518</v>
      </c>
      <c r="B78" s="130" t="s">
        <v>513</v>
      </c>
      <c r="C78" s="131" t="s">
        <v>300</v>
      </c>
      <c r="D78" s="130">
        <f>1*1.07</f>
        <v>1.07</v>
      </c>
      <c r="E78" s="132">
        <f>'Precios de Mat.'!$B37</f>
        <v>0</v>
      </c>
      <c r="F78" s="132">
        <f>D78*E78</f>
        <v>0</v>
      </c>
      <c r="G78" s="141"/>
      <c r="H78" s="141"/>
      <c r="I78" s="141"/>
      <c r="J78" s="141"/>
      <c r="K78" s="141"/>
      <c r="L78" s="141"/>
      <c r="M78" s="141"/>
    </row>
    <row r="79" spans="1:13" x14ac:dyDescent="0.25">
      <c r="A79" s="129" t="s">
        <v>495</v>
      </c>
      <c r="B79" s="130" t="s">
        <v>516</v>
      </c>
      <c r="C79" s="131" t="s">
        <v>300</v>
      </c>
      <c r="D79" s="130">
        <f>14*1.07</f>
        <v>14.98</v>
      </c>
      <c r="E79" s="132">
        <f>'Precios de Mat.'!$B$27</f>
        <v>0</v>
      </c>
      <c r="F79" s="132">
        <f>D79*E79</f>
        <v>0</v>
      </c>
      <c r="G79" s="141"/>
      <c r="H79" s="141"/>
      <c r="I79" s="141"/>
      <c r="J79" s="141"/>
      <c r="K79" s="141"/>
      <c r="L79" s="141"/>
      <c r="M79" s="141"/>
    </row>
    <row r="80" spans="1:13" x14ac:dyDescent="0.25">
      <c r="A80" s="129"/>
      <c r="B80" s="134"/>
      <c r="C80" s="131"/>
      <c r="D80" s="135"/>
      <c r="E80" s="132"/>
      <c r="F80" s="132"/>
      <c r="G80" s="141"/>
      <c r="H80" s="141"/>
      <c r="I80" s="141"/>
      <c r="J80" s="141"/>
      <c r="K80" s="141"/>
      <c r="L80" s="141"/>
      <c r="M80" s="141"/>
    </row>
    <row r="81" spans="1:13" x14ac:dyDescent="0.25">
      <c r="A81" s="129"/>
      <c r="B81" s="136"/>
      <c r="C81" s="131"/>
      <c r="D81" s="137"/>
      <c r="E81" s="148"/>
      <c r="F81" s="132"/>
      <c r="G81" s="141"/>
      <c r="H81" s="141"/>
      <c r="I81" s="141"/>
      <c r="J81" s="141"/>
      <c r="K81" s="141"/>
      <c r="L81" s="141"/>
      <c r="M81" s="141"/>
    </row>
    <row r="82" spans="1:13" x14ac:dyDescent="0.25">
      <c r="A82" s="270" t="s">
        <v>305</v>
      </c>
      <c r="B82" s="271"/>
      <c r="C82" s="271"/>
      <c r="D82" s="271"/>
      <c r="E82" s="272"/>
      <c r="F82" s="132">
        <f>F78+F79</f>
        <v>0</v>
      </c>
      <c r="G82" s="141"/>
      <c r="H82" s="141"/>
      <c r="I82" s="141"/>
      <c r="J82" s="141"/>
      <c r="K82" s="141"/>
      <c r="L82" s="141"/>
      <c r="M82" s="141"/>
    </row>
    <row r="83" spans="1:13" x14ac:dyDescent="0.25">
      <c r="A83" s="283" t="s">
        <v>306</v>
      </c>
      <c r="B83" s="284"/>
      <c r="C83" s="284"/>
      <c r="D83" s="284"/>
      <c r="E83" s="284"/>
      <c r="F83" s="285"/>
      <c r="G83" s="141"/>
      <c r="H83" s="141"/>
      <c r="I83" s="141"/>
      <c r="J83" s="141"/>
      <c r="K83" s="141"/>
      <c r="L83" s="141"/>
      <c r="M83" s="141"/>
    </row>
    <row r="84" spans="1:13" x14ac:dyDescent="0.25">
      <c r="A84" s="129" t="s">
        <v>556</v>
      </c>
      <c r="B84" s="130"/>
      <c r="C84" s="131" t="s">
        <v>69</v>
      </c>
      <c r="D84" s="142">
        <f>1/0.26</f>
        <v>3.8461538461538458</v>
      </c>
      <c r="E84" s="132">
        <f>Cuadrillas!$E$201</f>
        <v>0</v>
      </c>
      <c r="F84" s="132">
        <f>D84*E84</f>
        <v>0</v>
      </c>
      <c r="G84" s="141"/>
      <c r="H84" s="141"/>
      <c r="I84" s="141"/>
      <c r="J84" s="141"/>
      <c r="K84" s="141"/>
      <c r="L84" s="141"/>
      <c r="M84" s="141"/>
    </row>
    <row r="85" spans="1:13" x14ac:dyDescent="0.25">
      <c r="A85" s="138"/>
      <c r="B85" s="130"/>
      <c r="C85" s="151"/>
      <c r="D85" s="130"/>
      <c r="E85" s="132"/>
      <c r="F85" s="132"/>
      <c r="G85" s="141"/>
      <c r="H85" s="141"/>
      <c r="I85" s="141"/>
      <c r="J85" s="141"/>
      <c r="K85" s="141"/>
      <c r="L85" s="141"/>
      <c r="M85" s="141"/>
    </row>
    <row r="86" spans="1:13" x14ac:dyDescent="0.25">
      <c r="A86" s="138"/>
      <c r="B86" s="130"/>
      <c r="C86" s="151"/>
      <c r="D86" s="130"/>
      <c r="E86" s="132"/>
      <c r="F86" s="132"/>
      <c r="G86" s="141"/>
      <c r="H86" s="141"/>
      <c r="I86" s="141"/>
      <c r="J86" s="141"/>
      <c r="K86" s="141"/>
      <c r="L86" s="141"/>
      <c r="M86" s="141"/>
    </row>
    <row r="87" spans="1:13" x14ac:dyDescent="0.25">
      <c r="A87" s="270" t="s">
        <v>305</v>
      </c>
      <c r="B87" s="271"/>
      <c r="C87" s="271"/>
      <c r="D87" s="271"/>
      <c r="E87" s="272"/>
      <c r="F87" s="132">
        <f>F84+F85+F86</f>
        <v>0</v>
      </c>
      <c r="G87" s="141"/>
      <c r="H87" s="141"/>
      <c r="I87" s="141"/>
      <c r="J87" s="141"/>
      <c r="K87" s="141"/>
      <c r="L87" s="141"/>
      <c r="M87" s="141"/>
    </row>
    <row r="88" spans="1:13" x14ac:dyDescent="0.25">
      <c r="A88" s="273" t="s">
        <v>307</v>
      </c>
      <c r="B88" s="274"/>
      <c r="C88" s="271"/>
      <c r="D88" s="271"/>
      <c r="E88" s="272"/>
      <c r="F88" s="132">
        <f>F82+F87</f>
        <v>0</v>
      </c>
      <c r="G88" s="141"/>
      <c r="H88" s="141"/>
      <c r="I88" s="141"/>
      <c r="J88" s="141"/>
      <c r="K88" s="141"/>
      <c r="L88" s="141"/>
      <c r="M88" s="141"/>
    </row>
    <row r="89" spans="1:13" x14ac:dyDescent="0.2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</row>
  </sheetData>
  <mergeCells count="67">
    <mergeCell ref="A7:F7"/>
    <mergeCell ref="H7:M7"/>
    <mergeCell ref="A8:F8"/>
    <mergeCell ref="H8:M8"/>
    <mergeCell ref="A9:B9"/>
    <mergeCell ref="H9:I9"/>
    <mergeCell ref="A14:E14"/>
    <mergeCell ref="H14:L14"/>
    <mergeCell ref="A15:F15"/>
    <mergeCell ref="H15:M15"/>
    <mergeCell ref="A19:E19"/>
    <mergeCell ref="H19:L19"/>
    <mergeCell ref="A20:E20"/>
    <mergeCell ref="H20:L20"/>
    <mergeCell ref="A24:F24"/>
    <mergeCell ref="H24:M24"/>
    <mergeCell ref="A25:F25"/>
    <mergeCell ref="H25:M25"/>
    <mergeCell ref="A26:B26"/>
    <mergeCell ref="H26:I26"/>
    <mergeCell ref="A31:E31"/>
    <mergeCell ref="H31:L31"/>
    <mergeCell ref="A32:F32"/>
    <mergeCell ref="H32:M32"/>
    <mergeCell ref="A36:E36"/>
    <mergeCell ref="H36:L36"/>
    <mergeCell ref="A37:E37"/>
    <mergeCell ref="H37:L37"/>
    <mergeCell ref="A41:F41"/>
    <mergeCell ref="H41:M41"/>
    <mergeCell ref="A42:F42"/>
    <mergeCell ref="H42:M42"/>
    <mergeCell ref="A43:B43"/>
    <mergeCell ref="H43:I43"/>
    <mergeCell ref="A48:E48"/>
    <mergeCell ref="H48:L48"/>
    <mergeCell ref="A60:B60"/>
    <mergeCell ref="H60:I60"/>
    <mergeCell ref="A49:F49"/>
    <mergeCell ref="H49:M49"/>
    <mergeCell ref="A53:E53"/>
    <mergeCell ref="H53:L53"/>
    <mergeCell ref="A54:E54"/>
    <mergeCell ref="H54:L54"/>
    <mergeCell ref="A83:F83"/>
    <mergeCell ref="A87:E87"/>
    <mergeCell ref="A88:E88"/>
    <mergeCell ref="A75:F75"/>
    <mergeCell ref="A76:F76"/>
    <mergeCell ref="A77:B77"/>
    <mergeCell ref="A82:E82"/>
    <mergeCell ref="A1:M1"/>
    <mergeCell ref="A2:M2"/>
    <mergeCell ref="A3:M3"/>
    <mergeCell ref="A4:M4"/>
    <mergeCell ref="A71:E71"/>
    <mergeCell ref="H71:L71"/>
    <mergeCell ref="A65:E65"/>
    <mergeCell ref="H65:L65"/>
    <mergeCell ref="A66:F66"/>
    <mergeCell ref="H66:M66"/>
    <mergeCell ref="A70:E70"/>
    <mergeCell ref="H70:L70"/>
    <mergeCell ref="A58:F58"/>
    <mergeCell ref="H58:M58"/>
    <mergeCell ref="A59:F59"/>
    <mergeCell ref="H59:M59"/>
  </mergeCells>
  <phoneticPr fontId="0" type="noConversion"/>
  <pageMargins left="0.75" right="0.75" top="1" bottom="1" header="0" footer="0"/>
  <pageSetup scale="6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FFC000"/>
  </sheetPr>
  <dimension ref="A1:K523"/>
  <sheetViews>
    <sheetView tabSelected="1" topLeftCell="A89" zoomScaleNormal="100" workbookViewId="0">
      <selection activeCell="D105" sqref="D105"/>
    </sheetView>
  </sheetViews>
  <sheetFormatPr baseColWidth="10" defaultRowHeight="13.2" x14ac:dyDescent="0.25"/>
  <cols>
    <col min="1" max="1" width="21.109375" customWidth="1"/>
    <col min="3" max="3" width="9" customWidth="1"/>
    <col min="5" max="5" width="9" customWidth="1"/>
    <col min="6" max="6" width="5.44140625" customWidth="1"/>
    <col min="7" max="7" width="21.33203125" customWidth="1"/>
    <col min="8" max="9" width="9.88671875" customWidth="1"/>
    <col min="11" max="11" width="10.6640625" customWidth="1"/>
  </cols>
  <sheetData>
    <row r="1" spans="1:11" ht="23.4" x14ac:dyDescent="0.25">
      <c r="A1" s="169" t="s">
        <v>559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x14ac:dyDescent="0.25">
      <c r="A3" s="202" t="s">
        <v>562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</row>
    <row r="6" spans="1:11" ht="13.8" thickBot="1" x14ac:dyDescent="0.3"/>
    <row r="7" spans="1:11" x14ac:dyDescent="0.25">
      <c r="A7" s="7" t="s">
        <v>67</v>
      </c>
      <c r="B7" s="8">
        <v>1</v>
      </c>
      <c r="C7" s="8"/>
      <c r="D7" s="8"/>
      <c r="E7" s="9"/>
      <c r="G7" s="7" t="s">
        <v>76</v>
      </c>
      <c r="H7" s="8">
        <v>6</v>
      </c>
      <c r="I7" s="8"/>
      <c r="J7" s="8"/>
      <c r="K7" s="9"/>
    </row>
    <row r="8" spans="1:11" x14ac:dyDescent="0.25">
      <c r="A8" s="10" t="s">
        <v>59</v>
      </c>
      <c r="B8" s="1" t="s">
        <v>60</v>
      </c>
      <c r="C8" s="1" t="s">
        <v>61</v>
      </c>
      <c r="D8" s="1" t="s">
        <v>10</v>
      </c>
      <c r="E8" s="11" t="s">
        <v>62</v>
      </c>
      <c r="G8" s="10" t="s">
        <v>59</v>
      </c>
      <c r="H8" s="1" t="s">
        <v>60</v>
      </c>
      <c r="I8" s="1" t="s">
        <v>61</v>
      </c>
      <c r="J8" s="1" t="s">
        <v>10</v>
      </c>
      <c r="K8" s="11" t="s">
        <v>62</v>
      </c>
    </row>
    <row r="9" spans="1:11" x14ac:dyDescent="0.25">
      <c r="A9" s="12" t="s">
        <v>11</v>
      </c>
      <c r="B9" s="2" t="s">
        <v>69</v>
      </c>
      <c r="C9" s="3">
        <f>B7</f>
        <v>1</v>
      </c>
      <c r="D9" s="4">
        <f>Salarios!$M$39</f>
        <v>0</v>
      </c>
      <c r="E9" s="13">
        <f>C9*D9</f>
        <v>0</v>
      </c>
      <c r="G9" s="12" t="s">
        <v>11</v>
      </c>
      <c r="H9" s="2" t="s">
        <v>69</v>
      </c>
      <c r="I9" s="3">
        <f>H7</f>
        <v>6</v>
      </c>
      <c r="J9" s="4">
        <f>Salarios!$M$39</f>
        <v>0</v>
      </c>
      <c r="K9" s="13">
        <f>I9*J9</f>
        <v>0</v>
      </c>
    </row>
    <row r="10" spans="1:11" x14ac:dyDescent="0.25">
      <c r="A10" s="14"/>
      <c r="B10" s="2"/>
      <c r="C10" s="3"/>
      <c r="D10" s="4"/>
      <c r="E10" s="13"/>
      <c r="G10" s="14"/>
      <c r="H10" s="2"/>
      <c r="I10" s="3"/>
      <c r="J10" s="4"/>
      <c r="K10" s="13"/>
    </row>
    <row r="11" spans="1:11" x14ac:dyDescent="0.25">
      <c r="A11" s="14"/>
      <c r="B11" s="2"/>
      <c r="C11" s="3"/>
      <c r="D11" s="4"/>
      <c r="E11" s="13"/>
      <c r="G11" s="14"/>
      <c r="H11" s="2"/>
      <c r="I11" s="3"/>
      <c r="J11" s="4"/>
      <c r="K11" s="13"/>
    </row>
    <row r="12" spans="1:11" x14ac:dyDescent="0.25">
      <c r="A12" s="14"/>
      <c r="B12" s="2"/>
      <c r="C12" s="3"/>
      <c r="D12" s="4"/>
      <c r="E12" s="13"/>
      <c r="G12" s="14"/>
      <c r="H12" s="2"/>
      <c r="I12" s="3"/>
      <c r="J12" s="4"/>
      <c r="K12" s="13"/>
    </row>
    <row r="13" spans="1:11" x14ac:dyDescent="0.25">
      <c r="A13" s="212" t="s">
        <v>63</v>
      </c>
      <c r="B13" s="213"/>
      <c r="C13" s="213"/>
      <c r="D13" s="213"/>
      <c r="E13" s="13"/>
      <c r="G13" s="212" t="s">
        <v>63</v>
      </c>
      <c r="H13" s="213"/>
      <c r="I13" s="213"/>
      <c r="J13" s="213"/>
      <c r="K13" s="13"/>
    </row>
    <row r="14" spans="1:11" x14ac:dyDescent="0.25">
      <c r="A14" s="14" t="s">
        <v>70</v>
      </c>
      <c r="B14" s="2" t="s">
        <v>69</v>
      </c>
      <c r="C14" s="5">
        <f>(C9+C10+C11+C12)/20</f>
        <v>0.05</v>
      </c>
      <c r="D14" s="4">
        <f>Salarios!$M$16</f>
        <v>0</v>
      </c>
      <c r="E14" s="13">
        <f>C14*D14</f>
        <v>0</v>
      </c>
      <c r="G14" s="14" t="s">
        <v>70</v>
      </c>
      <c r="H14" s="2" t="s">
        <v>69</v>
      </c>
      <c r="I14" s="5">
        <f>(I9+I10+I11+I12)/20</f>
        <v>0.3</v>
      </c>
      <c r="J14" s="4">
        <f>Salarios!$M$16</f>
        <v>0</v>
      </c>
      <c r="K14" s="13">
        <f>I14*J14</f>
        <v>0</v>
      </c>
    </row>
    <row r="15" spans="1:11" x14ac:dyDescent="0.25">
      <c r="A15" s="14" t="s">
        <v>58</v>
      </c>
      <c r="B15" s="2" t="s">
        <v>69</v>
      </c>
      <c r="C15" s="5">
        <f>(C9+C10+C11+C12)/60</f>
        <v>1.6666666666666666E-2</v>
      </c>
      <c r="D15" s="4">
        <f>Salarios!$M$26</f>
        <v>0</v>
      </c>
      <c r="E15" s="13">
        <f>C15*D15</f>
        <v>0</v>
      </c>
      <c r="G15" s="14" t="s">
        <v>58</v>
      </c>
      <c r="H15" s="2" t="s">
        <v>69</v>
      </c>
      <c r="I15" s="5">
        <f>(I9+I10+I11+I12)/60</f>
        <v>0.1</v>
      </c>
      <c r="J15" s="4">
        <f>Salarios!$M$26</f>
        <v>0</v>
      </c>
      <c r="K15" s="13">
        <f>I15*J15</f>
        <v>0</v>
      </c>
    </row>
    <row r="16" spans="1:11" x14ac:dyDescent="0.25">
      <c r="A16" s="205" t="s">
        <v>65</v>
      </c>
      <c r="B16" s="206"/>
      <c r="C16" s="206"/>
      <c r="D16" s="206"/>
      <c r="E16" s="13">
        <f>SUM(E9:E15)</f>
        <v>0</v>
      </c>
      <c r="G16" s="205" t="s">
        <v>65</v>
      </c>
      <c r="H16" s="206"/>
      <c r="I16" s="206"/>
      <c r="J16" s="206"/>
      <c r="K16" s="13">
        <f>SUM(K9:K15)</f>
        <v>0</v>
      </c>
    </row>
    <row r="17" spans="1:11" ht="26.4" x14ac:dyDescent="0.25">
      <c r="A17" s="299" t="s">
        <v>569</v>
      </c>
      <c r="B17" s="2" t="s">
        <v>71</v>
      </c>
      <c r="C17" s="6">
        <v>7.0000000000000007E-2</v>
      </c>
      <c r="D17" s="4">
        <f>E16</f>
        <v>0</v>
      </c>
      <c r="E17" s="13">
        <f>C17*D17</f>
        <v>0</v>
      </c>
      <c r="G17" s="299" t="s">
        <v>569</v>
      </c>
      <c r="H17" s="2" t="s">
        <v>71</v>
      </c>
      <c r="I17" s="6">
        <v>7.0000000000000007E-2</v>
      </c>
      <c r="J17" s="4">
        <f>K16</f>
        <v>0</v>
      </c>
      <c r="K17" s="13">
        <f>I17*J17</f>
        <v>0</v>
      </c>
    </row>
    <row r="18" spans="1:11" ht="13.8" thickBot="1" x14ac:dyDescent="0.3">
      <c r="A18" s="207" t="s">
        <v>64</v>
      </c>
      <c r="B18" s="208"/>
      <c r="C18" s="208"/>
      <c r="D18" s="208"/>
      <c r="E18" s="15">
        <f>SUM(E16:E17)</f>
        <v>0</v>
      </c>
      <c r="G18" s="207" t="s">
        <v>64</v>
      </c>
      <c r="H18" s="208"/>
      <c r="I18" s="208"/>
      <c r="J18" s="208"/>
      <c r="K18" s="15">
        <f>SUM(K16:K17)</f>
        <v>0</v>
      </c>
    </row>
    <row r="20" spans="1:11" ht="13.8" thickBot="1" x14ac:dyDescent="0.3"/>
    <row r="21" spans="1:11" x14ac:dyDescent="0.25">
      <c r="A21" s="7" t="s">
        <v>72</v>
      </c>
      <c r="B21" s="8">
        <v>2</v>
      </c>
      <c r="C21" s="8"/>
      <c r="D21" s="8"/>
      <c r="E21" s="9"/>
      <c r="G21" s="7" t="s">
        <v>77</v>
      </c>
      <c r="H21" s="8">
        <v>7</v>
      </c>
      <c r="I21" s="8"/>
      <c r="J21" s="8"/>
      <c r="K21" s="9"/>
    </row>
    <row r="22" spans="1:11" x14ac:dyDescent="0.25">
      <c r="A22" s="10" t="s">
        <v>59</v>
      </c>
      <c r="B22" s="1" t="s">
        <v>60</v>
      </c>
      <c r="C22" s="1" t="s">
        <v>61</v>
      </c>
      <c r="D22" s="1" t="s">
        <v>10</v>
      </c>
      <c r="E22" s="11" t="s">
        <v>62</v>
      </c>
      <c r="G22" s="10" t="s">
        <v>59</v>
      </c>
      <c r="H22" s="1" t="s">
        <v>60</v>
      </c>
      <c r="I22" s="1" t="s">
        <v>61</v>
      </c>
      <c r="J22" s="1" t="s">
        <v>10</v>
      </c>
      <c r="K22" s="11" t="s">
        <v>62</v>
      </c>
    </row>
    <row r="23" spans="1:11" x14ac:dyDescent="0.25">
      <c r="A23" s="12" t="s">
        <v>11</v>
      </c>
      <c r="B23" s="2" t="s">
        <v>69</v>
      </c>
      <c r="C23" s="3">
        <f>B21</f>
        <v>2</v>
      </c>
      <c r="D23" s="4">
        <f>Salarios!$M$39</f>
        <v>0</v>
      </c>
      <c r="E23" s="13">
        <f>C23*D23</f>
        <v>0</v>
      </c>
      <c r="G23" s="12" t="s">
        <v>11</v>
      </c>
      <c r="H23" s="2" t="s">
        <v>69</v>
      </c>
      <c r="I23" s="3">
        <f>H21</f>
        <v>7</v>
      </c>
      <c r="J23" s="4">
        <f>Salarios!$M$39</f>
        <v>0</v>
      </c>
      <c r="K23" s="13">
        <f>I23*J23</f>
        <v>0</v>
      </c>
    </row>
    <row r="24" spans="1:11" x14ac:dyDescent="0.25">
      <c r="A24" s="12"/>
      <c r="B24" s="2"/>
      <c r="C24" s="3"/>
      <c r="D24" s="4"/>
      <c r="E24" s="13">
        <f>C24*D24</f>
        <v>0</v>
      </c>
      <c r="G24" s="12"/>
      <c r="H24" s="2"/>
      <c r="I24" s="3"/>
      <c r="J24" s="4"/>
      <c r="K24" s="13">
        <f>I24*J24</f>
        <v>0</v>
      </c>
    </row>
    <row r="25" spans="1:11" x14ac:dyDescent="0.25">
      <c r="A25" s="14"/>
      <c r="B25" s="2"/>
      <c r="C25" s="3"/>
      <c r="D25" s="4"/>
      <c r="E25" s="13">
        <f>C25*D25</f>
        <v>0</v>
      </c>
      <c r="G25" s="14"/>
      <c r="H25" s="2"/>
      <c r="I25" s="3"/>
      <c r="J25" s="4"/>
      <c r="K25" s="13">
        <f>I25*J25</f>
        <v>0</v>
      </c>
    </row>
    <row r="26" spans="1:11" x14ac:dyDescent="0.25">
      <c r="A26" s="14"/>
      <c r="B26" s="2"/>
      <c r="C26" s="3"/>
      <c r="D26" s="4"/>
      <c r="E26" s="13">
        <f>C26*D26</f>
        <v>0</v>
      </c>
      <c r="G26" s="14"/>
      <c r="H26" s="2"/>
      <c r="I26" s="3"/>
      <c r="J26" s="4"/>
      <c r="K26" s="13">
        <f>I26*J26</f>
        <v>0</v>
      </c>
    </row>
    <row r="27" spans="1:11" x14ac:dyDescent="0.25">
      <c r="A27" s="212" t="s">
        <v>63</v>
      </c>
      <c r="B27" s="213"/>
      <c r="C27" s="213"/>
      <c r="D27" s="213"/>
      <c r="E27" s="13"/>
      <c r="G27" s="212" t="s">
        <v>63</v>
      </c>
      <c r="H27" s="213"/>
      <c r="I27" s="213"/>
      <c r="J27" s="213"/>
      <c r="K27" s="13"/>
    </row>
    <row r="28" spans="1:11" x14ac:dyDescent="0.25">
      <c r="A28" s="14" t="s">
        <v>70</v>
      </c>
      <c r="B28" s="2" t="s">
        <v>69</v>
      </c>
      <c r="C28" s="5">
        <f>(C23+C24+C25+C26)/20</f>
        <v>0.1</v>
      </c>
      <c r="D28" s="4">
        <f>Salarios!$M$16</f>
        <v>0</v>
      </c>
      <c r="E28" s="13">
        <f>C28*D28</f>
        <v>0</v>
      </c>
      <c r="G28" s="14" t="s">
        <v>70</v>
      </c>
      <c r="H28" s="2" t="s">
        <v>69</v>
      </c>
      <c r="I28" s="5">
        <f>(I23+I24+I25+I26)/20</f>
        <v>0.35</v>
      </c>
      <c r="J28" s="4">
        <f>Salarios!$M$16</f>
        <v>0</v>
      </c>
      <c r="K28" s="13">
        <f>I28*J28</f>
        <v>0</v>
      </c>
    </row>
    <row r="29" spans="1:11" x14ac:dyDescent="0.25">
      <c r="A29" s="14" t="s">
        <v>58</v>
      </c>
      <c r="B29" s="2" t="s">
        <v>69</v>
      </c>
      <c r="C29" s="5">
        <f>(C23+C24+C25+C26)/60</f>
        <v>3.3333333333333333E-2</v>
      </c>
      <c r="D29" s="4">
        <f>Salarios!$M$26</f>
        <v>0</v>
      </c>
      <c r="E29" s="13">
        <f>C29*D29</f>
        <v>0</v>
      </c>
      <c r="G29" s="14" t="s">
        <v>58</v>
      </c>
      <c r="H29" s="2" t="s">
        <v>69</v>
      </c>
      <c r="I29" s="5">
        <f>(I23+I24+I25+I26)/60</f>
        <v>0.11666666666666667</v>
      </c>
      <c r="J29" s="4">
        <f>Salarios!$M$26</f>
        <v>0</v>
      </c>
      <c r="K29" s="13">
        <f>I29*J29</f>
        <v>0</v>
      </c>
    </row>
    <row r="30" spans="1:11" x14ac:dyDescent="0.25">
      <c r="A30" s="205" t="s">
        <v>65</v>
      </c>
      <c r="B30" s="206"/>
      <c r="C30" s="206"/>
      <c r="D30" s="206"/>
      <c r="E30" s="13">
        <f>SUM(E23:E29)</f>
        <v>0</v>
      </c>
      <c r="G30" s="205" t="s">
        <v>65</v>
      </c>
      <c r="H30" s="206"/>
      <c r="I30" s="206"/>
      <c r="J30" s="206"/>
      <c r="K30" s="13">
        <f>SUM(K23:K29)</f>
        <v>0</v>
      </c>
    </row>
    <row r="31" spans="1:11" ht="26.4" x14ac:dyDescent="0.25">
      <c r="A31" s="299" t="s">
        <v>569</v>
      </c>
      <c r="B31" s="2" t="s">
        <v>71</v>
      </c>
      <c r="C31" s="6">
        <v>7.0000000000000007E-2</v>
      </c>
      <c r="D31" s="4">
        <f>E30</f>
        <v>0</v>
      </c>
      <c r="E31" s="13">
        <f>C31*D31</f>
        <v>0</v>
      </c>
      <c r="G31" s="299" t="s">
        <v>569</v>
      </c>
      <c r="H31" s="2" t="s">
        <v>71</v>
      </c>
      <c r="I31" s="6">
        <v>7.0000000000000007E-2</v>
      </c>
      <c r="J31" s="4">
        <f>K30</f>
        <v>0</v>
      </c>
      <c r="K31" s="13">
        <f>I31*J31</f>
        <v>0</v>
      </c>
    </row>
    <row r="32" spans="1:11" ht="13.8" thickBot="1" x14ac:dyDescent="0.3">
      <c r="A32" s="207" t="s">
        <v>64</v>
      </c>
      <c r="B32" s="208"/>
      <c r="C32" s="208"/>
      <c r="D32" s="208"/>
      <c r="E32" s="15">
        <f>SUM(E30:E31)</f>
        <v>0</v>
      </c>
      <c r="G32" s="207" t="s">
        <v>64</v>
      </c>
      <c r="H32" s="208"/>
      <c r="I32" s="208"/>
      <c r="J32" s="208"/>
      <c r="K32" s="15">
        <f>SUM(K30:K31)</f>
        <v>0</v>
      </c>
    </row>
    <row r="34" spans="1:11" ht="13.8" thickBot="1" x14ac:dyDescent="0.3"/>
    <row r="35" spans="1:11" x14ac:dyDescent="0.25">
      <c r="A35" s="7" t="s">
        <v>73</v>
      </c>
      <c r="B35" s="8">
        <v>3</v>
      </c>
      <c r="C35" s="8"/>
      <c r="D35" s="8"/>
      <c r="E35" s="9"/>
      <c r="G35" s="7" t="s">
        <v>78</v>
      </c>
      <c r="H35" s="8">
        <v>8</v>
      </c>
      <c r="I35" s="8"/>
      <c r="J35" s="8"/>
      <c r="K35" s="9"/>
    </row>
    <row r="36" spans="1:11" x14ac:dyDescent="0.25">
      <c r="A36" s="10" t="s">
        <v>59</v>
      </c>
      <c r="B36" s="1" t="s">
        <v>60</v>
      </c>
      <c r="C36" s="1" t="s">
        <v>61</v>
      </c>
      <c r="D36" s="1" t="s">
        <v>10</v>
      </c>
      <c r="E36" s="11" t="s">
        <v>62</v>
      </c>
      <c r="G36" s="10" t="s">
        <v>59</v>
      </c>
      <c r="H36" s="1" t="s">
        <v>60</v>
      </c>
      <c r="I36" s="1" t="s">
        <v>61</v>
      </c>
      <c r="J36" s="1" t="s">
        <v>10</v>
      </c>
      <c r="K36" s="11" t="s">
        <v>62</v>
      </c>
    </row>
    <row r="37" spans="1:11" x14ac:dyDescent="0.25">
      <c r="A37" s="12" t="s">
        <v>11</v>
      </c>
      <c r="B37" s="2" t="s">
        <v>69</v>
      </c>
      <c r="C37" s="3">
        <f>B35</f>
        <v>3</v>
      </c>
      <c r="D37" s="4">
        <f>Salarios!$M$39</f>
        <v>0</v>
      </c>
      <c r="E37" s="13">
        <f>C37*D37</f>
        <v>0</v>
      </c>
      <c r="G37" s="12" t="s">
        <v>11</v>
      </c>
      <c r="H37" s="2" t="s">
        <v>69</v>
      </c>
      <c r="I37" s="3">
        <f>H35</f>
        <v>8</v>
      </c>
      <c r="J37" s="4">
        <f>Salarios!$M$39</f>
        <v>0</v>
      </c>
      <c r="K37" s="13">
        <f>I37*J37</f>
        <v>0</v>
      </c>
    </row>
    <row r="38" spans="1:11" x14ac:dyDescent="0.25">
      <c r="A38" s="14"/>
      <c r="B38" s="2"/>
      <c r="C38" s="3"/>
      <c r="D38" s="4"/>
      <c r="E38" s="13"/>
      <c r="G38" s="14"/>
      <c r="H38" s="2"/>
      <c r="I38" s="3"/>
      <c r="J38" s="4"/>
      <c r="K38" s="13"/>
    </row>
    <row r="39" spans="1:11" x14ac:dyDescent="0.25">
      <c r="A39" s="14"/>
      <c r="B39" s="2"/>
      <c r="C39" s="3"/>
      <c r="D39" s="4"/>
      <c r="E39" s="13"/>
      <c r="G39" s="14"/>
      <c r="H39" s="2"/>
      <c r="I39" s="3"/>
      <c r="J39" s="4"/>
      <c r="K39" s="13"/>
    </row>
    <row r="40" spans="1:11" x14ac:dyDescent="0.25">
      <c r="A40" s="14"/>
      <c r="B40" s="2"/>
      <c r="C40" s="3"/>
      <c r="D40" s="4"/>
      <c r="E40" s="13"/>
      <c r="G40" s="14"/>
      <c r="H40" s="2"/>
      <c r="I40" s="3"/>
      <c r="J40" s="4"/>
      <c r="K40" s="13"/>
    </row>
    <row r="41" spans="1:11" x14ac:dyDescent="0.25">
      <c r="A41" s="212" t="s">
        <v>63</v>
      </c>
      <c r="B41" s="213"/>
      <c r="C41" s="213"/>
      <c r="D41" s="213"/>
      <c r="E41" s="13"/>
      <c r="G41" s="212" t="s">
        <v>63</v>
      </c>
      <c r="H41" s="213"/>
      <c r="I41" s="213"/>
      <c r="J41" s="213"/>
      <c r="K41" s="13"/>
    </row>
    <row r="42" spans="1:11" x14ac:dyDescent="0.25">
      <c r="A42" s="14" t="s">
        <v>70</v>
      </c>
      <c r="B42" s="2" t="s">
        <v>69</v>
      </c>
      <c r="C42" s="5">
        <f>(C37+C38+C39+C40)/20</f>
        <v>0.15</v>
      </c>
      <c r="D42" s="4">
        <f>Salarios!$M$16</f>
        <v>0</v>
      </c>
      <c r="E42" s="13">
        <f>C42*D42</f>
        <v>0</v>
      </c>
      <c r="G42" s="14" t="s">
        <v>70</v>
      </c>
      <c r="H42" s="2" t="s">
        <v>69</v>
      </c>
      <c r="I42" s="5">
        <f>(I37+I38+I39+I40)/20</f>
        <v>0.4</v>
      </c>
      <c r="J42" s="4">
        <f>Salarios!$M$16</f>
        <v>0</v>
      </c>
      <c r="K42" s="13">
        <f>I42*J42</f>
        <v>0</v>
      </c>
    </row>
    <row r="43" spans="1:11" x14ac:dyDescent="0.25">
      <c r="A43" s="14" t="s">
        <v>58</v>
      </c>
      <c r="B43" s="2" t="s">
        <v>69</v>
      </c>
      <c r="C43" s="5">
        <f>(C37+C38+C39+C40)/60</f>
        <v>0.05</v>
      </c>
      <c r="D43" s="4">
        <f>Salarios!$M$26</f>
        <v>0</v>
      </c>
      <c r="E43" s="13">
        <f>C43*D43</f>
        <v>0</v>
      </c>
      <c r="G43" s="14" t="s">
        <v>58</v>
      </c>
      <c r="H43" s="2" t="s">
        <v>69</v>
      </c>
      <c r="I43" s="5">
        <f>(I37+I38+I39+I40)/60</f>
        <v>0.13333333333333333</v>
      </c>
      <c r="J43" s="4">
        <f>Salarios!$M$26</f>
        <v>0</v>
      </c>
      <c r="K43" s="13">
        <f>I43*J43</f>
        <v>0</v>
      </c>
    </row>
    <row r="44" spans="1:11" x14ac:dyDescent="0.25">
      <c r="A44" s="205" t="s">
        <v>65</v>
      </c>
      <c r="B44" s="206"/>
      <c r="C44" s="206"/>
      <c r="D44" s="206"/>
      <c r="E44" s="13">
        <f>SUM(E37:E43)</f>
        <v>0</v>
      </c>
      <c r="G44" s="205" t="s">
        <v>65</v>
      </c>
      <c r="H44" s="206"/>
      <c r="I44" s="206"/>
      <c r="J44" s="206"/>
      <c r="K44" s="13">
        <f>SUM(K37:K43)</f>
        <v>0</v>
      </c>
    </row>
    <row r="45" spans="1:11" ht="26.4" x14ac:dyDescent="0.25">
      <c r="A45" s="299" t="s">
        <v>569</v>
      </c>
      <c r="B45" s="2" t="s">
        <v>71</v>
      </c>
      <c r="C45" s="6">
        <v>7.0000000000000007E-2</v>
      </c>
      <c r="D45" s="4">
        <f>E44</f>
        <v>0</v>
      </c>
      <c r="E45" s="13">
        <f>C45*D45</f>
        <v>0</v>
      </c>
      <c r="G45" s="299" t="s">
        <v>569</v>
      </c>
      <c r="H45" s="2" t="s">
        <v>71</v>
      </c>
      <c r="I45" s="6">
        <v>7.0000000000000007E-2</v>
      </c>
      <c r="J45" s="4">
        <f>K44</f>
        <v>0</v>
      </c>
      <c r="K45" s="13">
        <f>I45*J45</f>
        <v>0</v>
      </c>
    </row>
    <row r="46" spans="1:11" ht="13.8" thickBot="1" x14ac:dyDescent="0.3">
      <c r="A46" s="207" t="s">
        <v>64</v>
      </c>
      <c r="B46" s="208"/>
      <c r="C46" s="208"/>
      <c r="D46" s="208"/>
      <c r="E46" s="15">
        <f>SUM(E44:E45)</f>
        <v>0</v>
      </c>
      <c r="G46" s="207" t="s">
        <v>64</v>
      </c>
      <c r="H46" s="208"/>
      <c r="I46" s="208"/>
      <c r="J46" s="208"/>
      <c r="K46" s="15">
        <f>SUM(K44:K45)</f>
        <v>0</v>
      </c>
    </row>
    <row r="48" spans="1:11" ht="13.8" thickBot="1" x14ac:dyDescent="0.3"/>
    <row r="49" spans="1:11" x14ac:dyDescent="0.25">
      <c r="A49" s="7" t="s">
        <v>74</v>
      </c>
      <c r="B49" s="8">
        <v>4</v>
      </c>
      <c r="C49" s="8"/>
      <c r="D49" s="8"/>
      <c r="E49" s="9"/>
      <c r="G49" s="7" t="s">
        <v>80</v>
      </c>
      <c r="H49" s="8"/>
      <c r="I49" s="8"/>
      <c r="J49" s="8"/>
      <c r="K49" s="9"/>
    </row>
    <row r="50" spans="1:11" x14ac:dyDescent="0.25">
      <c r="A50" s="10" t="s">
        <v>59</v>
      </c>
      <c r="B50" s="1" t="s">
        <v>60</v>
      </c>
      <c r="C50" s="1" t="s">
        <v>61</v>
      </c>
      <c r="D50" s="1" t="s">
        <v>10</v>
      </c>
      <c r="E50" s="11" t="s">
        <v>62</v>
      </c>
      <c r="G50" s="10" t="s">
        <v>59</v>
      </c>
      <c r="H50" s="1" t="s">
        <v>60</v>
      </c>
      <c r="I50" s="1" t="s">
        <v>61</v>
      </c>
      <c r="J50" s="1" t="s">
        <v>10</v>
      </c>
      <c r="K50" s="11" t="s">
        <v>62</v>
      </c>
    </row>
    <row r="51" spans="1:11" x14ac:dyDescent="0.25">
      <c r="A51" s="12" t="s">
        <v>11</v>
      </c>
      <c r="B51" s="2" t="s">
        <v>69</v>
      </c>
      <c r="C51" s="3">
        <f>B49</f>
        <v>4</v>
      </c>
      <c r="D51" s="4">
        <f>Salarios!$M$39</f>
        <v>0</v>
      </c>
      <c r="E51" s="13">
        <f>C51*D51</f>
        <v>0</v>
      </c>
      <c r="G51" s="12" t="s">
        <v>79</v>
      </c>
      <c r="H51" s="2" t="s">
        <v>69</v>
      </c>
      <c r="I51" s="3">
        <v>1</v>
      </c>
      <c r="J51" s="4">
        <f>Salarios!$M$11</f>
        <v>0</v>
      </c>
      <c r="K51" s="13">
        <f>I51*J51</f>
        <v>0</v>
      </c>
    </row>
    <row r="52" spans="1:11" x14ac:dyDescent="0.25">
      <c r="A52" s="14"/>
      <c r="B52" s="2"/>
      <c r="C52" s="3"/>
      <c r="D52" s="4"/>
      <c r="E52" s="13"/>
      <c r="G52" s="14"/>
      <c r="H52" s="2"/>
      <c r="I52" s="3"/>
      <c r="J52" s="4"/>
      <c r="K52" s="13"/>
    </row>
    <row r="53" spans="1:11" x14ac:dyDescent="0.25">
      <c r="A53" s="14"/>
      <c r="B53" s="2"/>
      <c r="C53" s="3"/>
      <c r="D53" s="4"/>
      <c r="E53" s="13"/>
      <c r="G53" s="14"/>
      <c r="H53" s="2"/>
      <c r="I53" s="3"/>
      <c r="J53" s="4"/>
      <c r="K53" s="13"/>
    </row>
    <row r="54" spans="1:11" x14ac:dyDescent="0.25">
      <c r="A54" s="14"/>
      <c r="B54" s="2"/>
      <c r="C54" s="3"/>
      <c r="D54" s="4"/>
      <c r="E54" s="13"/>
      <c r="G54" s="14"/>
      <c r="H54" s="2"/>
      <c r="I54" s="3"/>
      <c r="J54" s="4"/>
      <c r="K54" s="13"/>
    </row>
    <row r="55" spans="1:11" x14ac:dyDescent="0.25">
      <c r="A55" s="212" t="s">
        <v>63</v>
      </c>
      <c r="B55" s="213"/>
      <c r="C55" s="213"/>
      <c r="D55" s="213"/>
      <c r="E55" s="13"/>
      <c r="G55" s="212" t="s">
        <v>63</v>
      </c>
      <c r="H55" s="213"/>
      <c r="I55" s="213"/>
      <c r="J55" s="213"/>
      <c r="K55" s="13"/>
    </row>
    <row r="56" spans="1:11" x14ac:dyDescent="0.25">
      <c r="A56" s="14" t="s">
        <v>70</v>
      </c>
      <c r="B56" s="2" t="s">
        <v>69</v>
      </c>
      <c r="C56" s="5">
        <f>(C51+C52+C53+C54)/20</f>
        <v>0.2</v>
      </c>
      <c r="D56" s="4">
        <f>Salarios!$M$16</f>
        <v>0</v>
      </c>
      <c r="E56" s="13">
        <f>C56*D56</f>
        <v>0</v>
      </c>
      <c r="G56" s="14" t="s">
        <v>70</v>
      </c>
      <c r="H56" s="2" t="s">
        <v>69</v>
      </c>
      <c r="I56" s="5">
        <f>(I51+I52+I53+I54)/20</f>
        <v>0.05</v>
      </c>
      <c r="J56" s="4">
        <f>Salarios!$M$16</f>
        <v>0</v>
      </c>
      <c r="K56" s="13">
        <f>I56*J56</f>
        <v>0</v>
      </c>
    </row>
    <row r="57" spans="1:11" x14ac:dyDescent="0.25">
      <c r="A57" s="14" t="s">
        <v>58</v>
      </c>
      <c r="B57" s="2" t="s">
        <v>69</v>
      </c>
      <c r="C57" s="5">
        <f>(C51+C52+C53+C54)/60</f>
        <v>6.6666666666666666E-2</v>
      </c>
      <c r="D57" s="4">
        <f>Salarios!$M$26</f>
        <v>0</v>
      </c>
      <c r="E57" s="13">
        <f>C57*D57</f>
        <v>0</v>
      </c>
      <c r="G57" s="14" t="s">
        <v>58</v>
      </c>
      <c r="H57" s="2" t="s">
        <v>69</v>
      </c>
      <c r="I57" s="5">
        <f>(I51+I52+I53+I54)/60</f>
        <v>1.6666666666666666E-2</v>
      </c>
      <c r="J57" s="4">
        <f>Salarios!$M$26</f>
        <v>0</v>
      </c>
      <c r="K57" s="13">
        <f>I57*J57</f>
        <v>0</v>
      </c>
    </row>
    <row r="58" spans="1:11" x14ac:dyDescent="0.25">
      <c r="A58" s="205" t="s">
        <v>65</v>
      </c>
      <c r="B58" s="206"/>
      <c r="C58" s="206"/>
      <c r="D58" s="206"/>
      <c r="E58" s="13">
        <f>SUM(E51:E57)</f>
        <v>0</v>
      </c>
      <c r="G58" s="205" t="s">
        <v>65</v>
      </c>
      <c r="H58" s="206"/>
      <c r="I58" s="206"/>
      <c r="J58" s="206"/>
      <c r="K58" s="13">
        <f>SUM(K51:K57)</f>
        <v>0</v>
      </c>
    </row>
    <row r="59" spans="1:11" ht="26.4" x14ac:dyDescent="0.25">
      <c r="A59" s="299" t="s">
        <v>569</v>
      </c>
      <c r="B59" s="2" t="s">
        <v>71</v>
      </c>
      <c r="C59" s="6">
        <v>7.0000000000000007E-2</v>
      </c>
      <c r="D59" s="4">
        <f>E58</f>
        <v>0</v>
      </c>
      <c r="E59" s="13">
        <f>C59*D59</f>
        <v>0</v>
      </c>
      <c r="G59" s="299" t="s">
        <v>569</v>
      </c>
      <c r="H59" s="2" t="s">
        <v>71</v>
      </c>
      <c r="I59" s="6">
        <v>7.0000000000000007E-2</v>
      </c>
      <c r="J59" s="4">
        <f>K58</f>
        <v>0</v>
      </c>
      <c r="K59" s="13">
        <f>I59*J59</f>
        <v>0</v>
      </c>
    </row>
    <row r="60" spans="1:11" ht="13.8" thickBot="1" x14ac:dyDescent="0.3">
      <c r="A60" s="207" t="s">
        <v>64</v>
      </c>
      <c r="B60" s="208"/>
      <c r="C60" s="208"/>
      <c r="D60" s="208"/>
      <c r="E60" s="15">
        <f>SUM(E58:E59)</f>
        <v>0</v>
      </c>
      <c r="G60" s="207" t="s">
        <v>64</v>
      </c>
      <c r="H60" s="208"/>
      <c r="I60" s="208"/>
      <c r="J60" s="208"/>
      <c r="K60" s="15">
        <f>SUM(K58:K59)</f>
        <v>0</v>
      </c>
    </row>
    <row r="62" spans="1:11" ht="13.8" thickBot="1" x14ac:dyDescent="0.3"/>
    <row r="63" spans="1:11" x14ac:dyDescent="0.25">
      <c r="A63" s="7" t="s">
        <v>75</v>
      </c>
      <c r="B63" s="8">
        <v>5</v>
      </c>
      <c r="C63" s="8"/>
      <c r="D63" s="8"/>
      <c r="E63" s="9"/>
      <c r="G63" s="7" t="s">
        <v>81</v>
      </c>
      <c r="H63" s="8"/>
      <c r="I63" s="8"/>
      <c r="J63" s="8"/>
      <c r="K63" s="9"/>
    </row>
    <row r="64" spans="1:11" x14ac:dyDescent="0.25">
      <c r="A64" s="10" t="s">
        <v>59</v>
      </c>
      <c r="B64" s="1" t="s">
        <v>60</v>
      </c>
      <c r="C64" s="1" t="s">
        <v>61</v>
      </c>
      <c r="D64" s="1" t="s">
        <v>10</v>
      </c>
      <c r="E64" s="11" t="s">
        <v>62</v>
      </c>
      <c r="G64" s="10" t="s">
        <v>59</v>
      </c>
      <c r="H64" s="1" t="s">
        <v>60</v>
      </c>
      <c r="I64" s="1" t="s">
        <v>61</v>
      </c>
      <c r="J64" s="1" t="s">
        <v>10</v>
      </c>
      <c r="K64" s="11" t="s">
        <v>62</v>
      </c>
    </row>
    <row r="65" spans="1:11" x14ac:dyDescent="0.25">
      <c r="A65" s="12" t="s">
        <v>11</v>
      </c>
      <c r="B65" s="2" t="s">
        <v>69</v>
      </c>
      <c r="C65" s="3">
        <f>B63</f>
        <v>5</v>
      </c>
      <c r="D65" s="4">
        <f>Salarios!$M$39</f>
        <v>0</v>
      </c>
      <c r="E65" s="13">
        <f>C65*D65</f>
        <v>0</v>
      </c>
      <c r="G65" s="12" t="s">
        <v>82</v>
      </c>
      <c r="H65" s="2" t="s">
        <v>69</v>
      </c>
      <c r="I65" s="3">
        <v>1</v>
      </c>
      <c r="J65" s="4">
        <f>Salarios!$M$10</f>
        <v>0</v>
      </c>
      <c r="K65" s="13">
        <f>I65*J65</f>
        <v>0</v>
      </c>
    </row>
    <row r="66" spans="1:11" x14ac:dyDescent="0.25">
      <c r="A66" s="14"/>
      <c r="B66" s="2"/>
      <c r="C66" s="3"/>
      <c r="D66" s="4"/>
      <c r="E66" s="13"/>
      <c r="G66" s="14"/>
      <c r="H66" s="2"/>
      <c r="I66" s="3"/>
      <c r="J66" s="4"/>
      <c r="K66" s="13"/>
    </row>
    <row r="67" spans="1:11" x14ac:dyDescent="0.25">
      <c r="A67" s="14"/>
      <c r="B67" s="2"/>
      <c r="C67" s="3"/>
      <c r="D67" s="4"/>
      <c r="E67" s="13"/>
      <c r="G67" s="14"/>
      <c r="H67" s="2"/>
      <c r="I67" s="3"/>
      <c r="J67" s="4"/>
      <c r="K67" s="13"/>
    </row>
    <row r="68" spans="1:11" x14ac:dyDescent="0.25">
      <c r="A68" s="14"/>
      <c r="B68" s="2"/>
      <c r="C68" s="3"/>
      <c r="D68" s="4"/>
      <c r="E68" s="13"/>
      <c r="G68" s="14"/>
      <c r="H68" s="2"/>
      <c r="I68" s="3"/>
      <c r="J68" s="4"/>
      <c r="K68" s="13"/>
    </row>
    <row r="69" spans="1:11" x14ac:dyDescent="0.25">
      <c r="A69" s="212" t="s">
        <v>63</v>
      </c>
      <c r="B69" s="213"/>
      <c r="C69" s="213"/>
      <c r="D69" s="213"/>
      <c r="E69" s="13"/>
      <c r="G69" s="212" t="s">
        <v>63</v>
      </c>
      <c r="H69" s="213"/>
      <c r="I69" s="213"/>
      <c r="J69" s="213"/>
      <c r="K69" s="13"/>
    </row>
    <row r="70" spans="1:11" x14ac:dyDescent="0.25">
      <c r="A70" s="14" t="s">
        <v>70</v>
      </c>
      <c r="B70" s="2" t="s">
        <v>69</v>
      </c>
      <c r="C70" s="5">
        <f>(C65+C66+C67+C68)/20</f>
        <v>0.25</v>
      </c>
      <c r="D70" s="4">
        <f>Salarios!$M$16</f>
        <v>0</v>
      </c>
      <c r="E70" s="13">
        <f>C70*D70</f>
        <v>0</v>
      </c>
      <c r="G70" s="14" t="s">
        <v>70</v>
      </c>
      <c r="H70" s="2" t="s">
        <v>69</v>
      </c>
      <c r="I70" s="5">
        <f>(I65+I66+I67+I68)/20</f>
        <v>0.05</v>
      </c>
      <c r="J70" s="4">
        <f>Salarios!$M$16</f>
        <v>0</v>
      </c>
      <c r="K70" s="13">
        <f>I70*J70</f>
        <v>0</v>
      </c>
    </row>
    <row r="71" spans="1:11" x14ac:dyDescent="0.25">
      <c r="A71" s="14" t="s">
        <v>58</v>
      </c>
      <c r="B71" s="2" t="s">
        <v>69</v>
      </c>
      <c r="C71" s="5">
        <f>(C65+C66+C67+C68)/60</f>
        <v>8.3333333333333329E-2</v>
      </c>
      <c r="D71" s="4">
        <f>Salarios!$M$26</f>
        <v>0</v>
      </c>
      <c r="E71" s="13">
        <f>C71*D71</f>
        <v>0</v>
      </c>
      <c r="G71" s="14" t="s">
        <v>58</v>
      </c>
      <c r="H71" s="2" t="s">
        <v>69</v>
      </c>
      <c r="I71" s="5">
        <f>(I65+I66+I67+I68)/60</f>
        <v>1.6666666666666666E-2</v>
      </c>
      <c r="J71" s="4">
        <f>Salarios!$M$26</f>
        <v>0</v>
      </c>
      <c r="K71" s="13">
        <f>I71*J71</f>
        <v>0</v>
      </c>
    </row>
    <row r="72" spans="1:11" x14ac:dyDescent="0.25">
      <c r="A72" s="205" t="s">
        <v>65</v>
      </c>
      <c r="B72" s="206"/>
      <c r="C72" s="206"/>
      <c r="D72" s="206"/>
      <c r="E72" s="13">
        <f>SUM(E65:E71)</f>
        <v>0</v>
      </c>
      <c r="G72" s="205" t="s">
        <v>65</v>
      </c>
      <c r="H72" s="206"/>
      <c r="I72" s="206"/>
      <c r="J72" s="206"/>
      <c r="K72" s="13">
        <f>SUM(K65:K71)</f>
        <v>0</v>
      </c>
    </row>
    <row r="73" spans="1:11" ht="26.4" x14ac:dyDescent="0.25">
      <c r="A73" s="299" t="s">
        <v>569</v>
      </c>
      <c r="B73" s="2" t="s">
        <v>71</v>
      </c>
      <c r="C73" s="6">
        <v>7.0000000000000007E-2</v>
      </c>
      <c r="D73" s="4">
        <f>E72</f>
        <v>0</v>
      </c>
      <c r="E73" s="13">
        <f>C73*D73</f>
        <v>0</v>
      </c>
      <c r="G73" s="299" t="s">
        <v>569</v>
      </c>
      <c r="H73" s="2" t="s">
        <v>71</v>
      </c>
      <c r="I73" s="6">
        <v>7.0000000000000007E-2</v>
      </c>
      <c r="J73" s="4">
        <f>K72</f>
        <v>0</v>
      </c>
      <c r="K73" s="13">
        <f>I73*J73</f>
        <v>0</v>
      </c>
    </row>
    <row r="74" spans="1:11" ht="13.8" thickBot="1" x14ac:dyDescent="0.3">
      <c r="A74" s="207" t="s">
        <v>64</v>
      </c>
      <c r="B74" s="208"/>
      <c r="C74" s="208"/>
      <c r="D74" s="208"/>
      <c r="E74" s="15">
        <f>SUM(E72:E73)</f>
        <v>0</v>
      </c>
      <c r="G74" s="207" t="s">
        <v>64</v>
      </c>
      <c r="H74" s="208"/>
      <c r="I74" s="208"/>
      <c r="J74" s="208"/>
      <c r="K74" s="15">
        <f>SUM(K72:K73)</f>
        <v>0</v>
      </c>
    </row>
    <row r="77" spans="1:11" ht="13.8" thickBot="1" x14ac:dyDescent="0.3"/>
    <row r="78" spans="1:11" x14ac:dyDescent="0.25">
      <c r="A78" s="7" t="s">
        <v>83</v>
      </c>
      <c r="B78" s="8"/>
      <c r="C78" s="8"/>
      <c r="D78" s="8"/>
      <c r="E78" s="9"/>
      <c r="G78" s="7" t="s">
        <v>90</v>
      </c>
      <c r="H78" s="8"/>
      <c r="I78" s="8"/>
      <c r="J78" s="8"/>
      <c r="K78" s="9"/>
    </row>
    <row r="79" spans="1:11" x14ac:dyDescent="0.25">
      <c r="A79" s="10" t="s">
        <v>59</v>
      </c>
      <c r="B79" s="1" t="s">
        <v>60</v>
      </c>
      <c r="C79" s="1" t="s">
        <v>61</v>
      </c>
      <c r="D79" s="1" t="s">
        <v>10</v>
      </c>
      <c r="E79" s="11" t="s">
        <v>62</v>
      </c>
      <c r="G79" s="10" t="s">
        <v>59</v>
      </c>
      <c r="H79" s="1" t="s">
        <v>60</v>
      </c>
      <c r="I79" s="1" t="s">
        <v>61</v>
      </c>
      <c r="J79" s="1" t="s">
        <v>10</v>
      </c>
      <c r="K79" s="11" t="s">
        <v>62</v>
      </c>
    </row>
    <row r="80" spans="1:11" x14ac:dyDescent="0.25">
      <c r="A80" s="12" t="s">
        <v>14</v>
      </c>
      <c r="B80" s="2" t="s">
        <v>69</v>
      </c>
      <c r="C80" s="3">
        <v>1</v>
      </c>
      <c r="D80" s="4">
        <f>Salarios!$M$12</f>
        <v>0</v>
      </c>
      <c r="E80" s="13">
        <f>C80*D80</f>
        <v>0</v>
      </c>
      <c r="G80" s="14" t="s">
        <v>79</v>
      </c>
      <c r="H80" s="2" t="s">
        <v>69</v>
      </c>
      <c r="I80" s="3">
        <v>4</v>
      </c>
      <c r="J80" s="4">
        <f>Salarios!$M$11</f>
        <v>0</v>
      </c>
      <c r="K80" s="13">
        <f>I80*J80</f>
        <v>0</v>
      </c>
    </row>
    <row r="81" spans="1:11" x14ac:dyDescent="0.25">
      <c r="A81" s="14" t="s">
        <v>79</v>
      </c>
      <c r="B81" s="2" t="s">
        <v>69</v>
      </c>
      <c r="C81" s="3">
        <v>1</v>
      </c>
      <c r="D81" s="4">
        <f>Salarios!$M$11</f>
        <v>0</v>
      </c>
      <c r="E81" s="13">
        <f>C81*D81</f>
        <v>0</v>
      </c>
      <c r="G81" s="12" t="s">
        <v>85</v>
      </c>
      <c r="H81" s="2" t="s">
        <v>69</v>
      </c>
      <c r="I81" s="3">
        <v>1</v>
      </c>
      <c r="J81" s="4">
        <f>Salarios!$M$31</f>
        <v>0</v>
      </c>
      <c r="K81" s="13">
        <f>I81*J81</f>
        <v>0</v>
      </c>
    </row>
    <row r="82" spans="1:11" x14ac:dyDescent="0.25">
      <c r="A82" s="14"/>
      <c r="B82" s="2"/>
      <c r="C82" s="3"/>
      <c r="D82" s="4"/>
      <c r="E82" s="13">
        <f>C82*D82</f>
        <v>0</v>
      </c>
      <c r="G82" s="14"/>
      <c r="H82" s="2"/>
      <c r="I82" s="3"/>
      <c r="J82" s="4"/>
      <c r="K82" s="13">
        <f>I82*J82</f>
        <v>0</v>
      </c>
    </row>
    <row r="83" spans="1:11" x14ac:dyDescent="0.25">
      <c r="A83" s="14"/>
      <c r="B83" s="2"/>
      <c r="C83" s="3"/>
      <c r="D83" s="4"/>
      <c r="E83" s="13">
        <f>C83*D83</f>
        <v>0</v>
      </c>
      <c r="G83" s="14"/>
      <c r="H83" s="2"/>
      <c r="I83" s="3"/>
      <c r="J83" s="4"/>
      <c r="K83" s="13">
        <f>I83*J83</f>
        <v>0</v>
      </c>
    </row>
    <row r="84" spans="1:11" x14ac:dyDescent="0.25">
      <c r="A84" s="212" t="s">
        <v>63</v>
      </c>
      <c r="B84" s="213"/>
      <c r="C84" s="213"/>
      <c r="D84" s="213"/>
      <c r="E84" s="13"/>
      <c r="G84" s="212" t="s">
        <v>63</v>
      </c>
      <c r="H84" s="213"/>
      <c r="I84" s="213"/>
      <c r="J84" s="213"/>
      <c r="K84" s="13"/>
    </row>
    <row r="85" spans="1:11" x14ac:dyDescent="0.25">
      <c r="A85" s="14" t="s">
        <v>70</v>
      </c>
      <c r="B85" s="2" t="s">
        <v>69</v>
      </c>
      <c r="C85" s="5">
        <f>(C80+C81+C82+C83)/20</f>
        <v>0.1</v>
      </c>
      <c r="D85" s="4">
        <f>Salarios!$M$16</f>
        <v>0</v>
      </c>
      <c r="E85" s="13">
        <f>C85*D85</f>
        <v>0</v>
      </c>
      <c r="G85" s="14" t="s">
        <v>70</v>
      </c>
      <c r="H85" s="2" t="s">
        <v>69</v>
      </c>
      <c r="I85" s="5">
        <f>(I80+I81+I82+I83)/20</f>
        <v>0.25</v>
      </c>
      <c r="J85" s="4">
        <f>Salarios!$M$16</f>
        <v>0</v>
      </c>
      <c r="K85" s="13">
        <f>I85*J85</f>
        <v>0</v>
      </c>
    </row>
    <row r="86" spans="1:11" x14ac:dyDescent="0.25">
      <c r="A86" s="14" t="s">
        <v>58</v>
      </c>
      <c r="B86" s="2" t="s">
        <v>69</v>
      </c>
      <c r="C86" s="5">
        <f>(C80+C81+C82+C83)/60</f>
        <v>3.3333333333333333E-2</v>
      </c>
      <c r="D86" s="4">
        <f>Salarios!$M$26</f>
        <v>0</v>
      </c>
      <c r="E86" s="13">
        <f>C86*D86</f>
        <v>0</v>
      </c>
      <c r="G86" s="14" t="s">
        <v>58</v>
      </c>
      <c r="H86" s="2" t="s">
        <v>69</v>
      </c>
      <c r="I86" s="5">
        <f>(I80+I81+I82+I83)/60</f>
        <v>8.3333333333333329E-2</v>
      </c>
      <c r="J86" s="4">
        <f>Salarios!$M$26</f>
        <v>0</v>
      </c>
      <c r="K86" s="13">
        <f>I86*J86</f>
        <v>0</v>
      </c>
    </row>
    <row r="87" spans="1:11" x14ac:dyDescent="0.25">
      <c r="A87" s="205" t="s">
        <v>65</v>
      </c>
      <c r="B87" s="206"/>
      <c r="C87" s="206"/>
      <c r="D87" s="206"/>
      <c r="E87" s="13">
        <f>SUM(E80:E86)</f>
        <v>0</v>
      </c>
      <c r="G87" s="205" t="s">
        <v>65</v>
      </c>
      <c r="H87" s="206"/>
      <c r="I87" s="206"/>
      <c r="J87" s="206"/>
      <c r="K87" s="13">
        <f>SUM(K80:K86)</f>
        <v>0</v>
      </c>
    </row>
    <row r="88" spans="1:11" ht="26.4" x14ac:dyDescent="0.25">
      <c r="A88" s="299" t="s">
        <v>569</v>
      </c>
      <c r="B88" s="2" t="s">
        <v>71</v>
      </c>
      <c r="C88" s="6">
        <v>7.0000000000000007E-2</v>
      </c>
      <c r="D88" s="4">
        <f>E87</f>
        <v>0</v>
      </c>
      <c r="E88" s="13">
        <f>C88*D88</f>
        <v>0</v>
      </c>
      <c r="G88" s="299" t="s">
        <v>569</v>
      </c>
      <c r="H88" s="2" t="s">
        <v>71</v>
      </c>
      <c r="I88" s="6">
        <v>7.0000000000000007E-2</v>
      </c>
      <c r="J88" s="4">
        <f>K87</f>
        <v>0</v>
      </c>
      <c r="K88" s="13">
        <f>I88*J88</f>
        <v>0</v>
      </c>
    </row>
    <row r="89" spans="1:11" ht="13.8" thickBot="1" x14ac:dyDescent="0.3">
      <c r="A89" s="207" t="s">
        <v>64</v>
      </c>
      <c r="B89" s="208"/>
      <c r="C89" s="208"/>
      <c r="D89" s="208"/>
      <c r="E89" s="15">
        <f>SUM(E87:E88)</f>
        <v>0</v>
      </c>
      <c r="G89" s="207" t="s">
        <v>64</v>
      </c>
      <c r="H89" s="208"/>
      <c r="I89" s="208"/>
      <c r="J89" s="208"/>
      <c r="K89" s="15">
        <f>SUM(K87:K88)</f>
        <v>0</v>
      </c>
    </row>
    <row r="91" spans="1:11" ht="13.8" thickBot="1" x14ac:dyDescent="0.3"/>
    <row r="92" spans="1:11" x14ac:dyDescent="0.25">
      <c r="A92" s="7" t="s">
        <v>84</v>
      </c>
      <c r="B92" s="8"/>
      <c r="C92" s="8"/>
      <c r="D92" s="8"/>
      <c r="E92" s="9"/>
      <c r="G92" s="7" t="s">
        <v>91</v>
      </c>
      <c r="H92" s="8"/>
      <c r="I92" s="8"/>
      <c r="J92" s="8"/>
      <c r="K92" s="9"/>
    </row>
    <row r="93" spans="1:11" x14ac:dyDescent="0.25">
      <c r="A93" s="10" t="s">
        <v>59</v>
      </c>
      <c r="B93" s="1" t="s">
        <v>60</v>
      </c>
      <c r="C93" s="1" t="s">
        <v>61</v>
      </c>
      <c r="D93" s="1" t="s">
        <v>10</v>
      </c>
      <c r="E93" s="11" t="s">
        <v>62</v>
      </c>
      <c r="G93" s="10" t="s">
        <v>59</v>
      </c>
      <c r="H93" s="1" t="s">
        <v>60</v>
      </c>
      <c r="I93" s="1" t="s">
        <v>61</v>
      </c>
      <c r="J93" s="1" t="s">
        <v>10</v>
      </c>
      <c r="K93" s="11" t="s">
        <v>62</v>
      </c>
    </row>
    <row r="94" spans="1:11" x14ac:dyDescent="0.25">
      <c r="A94" s="12" t="s">
        <v>11</v>
      </c>
      <c r="B94" s="2" t="s">
        <v>69</v>
      </c>
      <c r="C94" s="3">
        <v>1</v>
      </c>
      <c r="D94" s="4">
        <f>Salarios!$M$39</f>
        <v>0</v>
      </c>
      <c r="E94" s="13">
        <f>C94*D94</f>
        <v>0</v>
      </c>
      <c r="G94" s="12" t="s">
        <v>11</v>
      </c>
      <c r="H94" s="2" t="s">
        <v>69</v>
      </c>
      <c r="I94" s="3">
        <v>5</v>
      </c>
      <c r="J94" s="4">
        <f>Salarios!$M$39</f>
        <v>0</v>
      </c>
      <c r="K94" s="13">
        <f>I94*J94</f>
        <v>0</v>
      </c>
    </row>
    <row r="95" spans="1:11" x14ac:dyDescent="0.25">
      <c r="A95" s="12" t="s">
        <v>85</v>
      </c>
      <c r="B95" s="2" t="s">
        <v>69</v>
      </c>
      <c r="C95" s="3">
        <v>1</v>
      </c>
      <c r="D95" s="4">
        <f>Salarios!$M$31</f>
        <v>0</v>
      </c>
      <c r="E95" s="13">
        <f>C95*D95</f>
        <v>0</v>
      </c>
      <c r="G95" s="12" t="s">
        <v>85</v>
      </c>
      <c r="H95" s="2" t="s">
        <v>69</v>
      </c>
      <c r="I95" s="3">
        <v>1</v>
      </c>
      <c r="J95" s="4">
        <f>Salarios!$M$31</f>
        <v>0</v>
      </c>
      <c r="K95" s="13">
        <f>I95*J95</f>
        <v>0</v>
      </c>
    </row>
    <row r="96" spans="1:11" x14ac:dyDescent="0.25">
      <c r="A96" s="14"/>
      <c r="B96" s="2"/>
      <c r="C96" s="3"/>
      <c r="D96" s="4"/>
      <c r="E96" s="13">
        <f>C96*D96</f>
        <v>0</v>
      </c>
      <c r="G96" s="14"/>
      <c r="H96" s="2"/>
      <c r="I96" s="3"/>
      <c r="J96" s="4"/>
      <c r="K96" s="13">
        <f>I96*J96</f>
        <v>0</v>
      </c>
    </row>
    <row r="97" spans="1:11" x14ac:dyDescent="0.25">
      <c r="A97" s="14"/>
      <c r="B97" s="2"/>
      <c r="C97" s="3"/>
      <c r="D97" s="4"/>
      <c r="E97" s="13">
        <f>C97*D97</f>
        <v>0</v>
      </c>
      <c r="G97" s="14"/>
      <c r="H97" s="2"/>
      <c r="I97" s="3"/>
      <c r="J97" s="4"/>
      <c r="K97" s="13">
        <f>I97*J97</f>
        <v>0</v>
      </c>
    </row>
    <row r="98" spans="1:11" x14ac:dyDescent="0.25">
      <c r="A98" s="212" t="s">
        <v>63</v>
      </c>
      <c r="B98" s="213"/>
      <c r="C98" s="213"/>
      <c r="D98" s="213"/>
      <c r="E98" s="13"/>
      <c r="G98" s="212" t="s">
        <v>63</v>
      </c>
      <c r="H98" s="213"/>
      <c r="I98" s="213"/>
      <c r="J98" s="213"/>
      <c r="K98" s="13"/>
    </row>
    <row r="99" spans="1:11" x14ac:dyDescent="0.25">
      <c r="A99" s="14" t="s">
        <v>70</v>
      </c>
      <c r="B99" s="2" t="s">
        <v>69</v>
      </c>
      <c r="C99" s="5">
        <f>(C94+C95+C96+C97)/20</f>
        <v>0.1</v>
      </c>
      <c r="D99" s="4">
        <f>Salarios!$M$16</f>
        <v>0</v>
      </c>
      <c r="E99" s="13">
        <f>C99*D99</f>
        <v>0</v>
      </c>
      <c r="G99" s="14" t="s">
        <v>70</v>
      </c>
      <c r="H99" s="2" t="s">
        <v>69</v>
      </c>
      <c r="I99" s="5">
        <f>(I94+I95+I96+I97)/20</f>
        <v>0.3</v>
      </c>
      <c r="J99" s="4">
        <f>Salarios!$M$16</f>
        <v>0</v>
      </c>
      <c r="K99" s="13">
        <f>I99*J99</f>
        <v>0</v>
      </c>
    </row>
    <row r="100" spans="1:11" x14ac:dyDescent="0.25">
      <c r="A100" s="14" t="s">
        <v>58</v>
      </c>
      <c r="B100" s="2" t="s">
        <v>69</v>
      </c>
      <c r="C100" s="5">
        <f>(C94+C95+C96+C97)/60</f>
        <v>3.3333333333333333E-2</v>
      </c>
      <c r="D100" s="4">
        <f>Salarios!$M$26</f>
        <v>0</v>
      </c>
      <c r="E100" s="13">
        <f>C100*D100</f>
        <v>0</v>
      </c>
      <c r="G100" s="14" t="s">
        <v>58</v>
      </c>
      <c r="H100" s="2" t="s">
        <v>69</v>
      </c>
      <c r="I100" s="5">
        <f>(I94+I95+I96+I97)/60</f>
        <v>0.1</v>
      </c>
      <c r="J100" s="4">
        <f>Salarios!$M$26</f>
        <v>0</v>
      </c>
      <c r="K100" s="13">
        <f>I100*J100</f>
        <v>0</v>
      </c>
    </row>
    <row r="101" spans="1:11" x14ac:dyDescent="0.25">
      <c r="A101" s="205" t="s">
        <v>65</v>
      </c>
      <c r="B101" s="206"/>
      <c r="C101" s="206"/>
      <c r="D101" s="206"/>
      <c r="E101" s="13">
        <f>SUM(E94:E100)</f>
        <v>0</v>
      </c>
      <c r="G101" s="205" t="s">
        <v>65</v>
      </c>
      <c r="H101" s="206"/>
      <c r="I101" s="206"/>
      <c r="J101" s="206"/>
      <c r="K101" s="13">
        <f>SUM(K94:K100)</f>
        <v>0</v>
      </c>
    </row>
    <row r="102" spans="1:11" ht="26.4" x14ac:dyDescent="0.25">
      <c r="A102" s="299" t="s">
        <v>569</v>
      </c>
      <c r="B102" s="2" t="s">
        <v>71</v>
      </c>
      <c r="C102" s="6">
        <v>7.0000000000000007E-2</v>
      </c>
      <c r="D102" s="4">
        <f>E101</f>
        <v>0</v>
      </c>
      <c r="E102" s="13">
        <f>C102*D102</f>
        <v>0</v>
      </c>
      <c r="G102" s="299" t="s">
        <v>569</v>
      </c>
      <c r="H102" s="2" t="s">
        <v>71</v>
      </c>
      <c r="I102" s="6">
        <v>7.0000000000000007E-2</v>
      </c>
      <c r="J102" s="4">
        <f>K101</f>
        <v>0</v>
      </c>
      <c r="K102" s="13">
        <f>I102*J102</f>
        <v>0</v>
      </c>
    </row>
    <row r="103" spans="1:11" ht="13.8" thickBot="1" x14ac:dyDescent="0.3">
      <c r="A103" s="207" t="s">
        <v>64</v>
      </c>
      <c r="B103" s="208"/>
      <c r="C103" s="208"/>
      <c r="D103" s="208"/>
      <c r="E103" s="15">
        <f>SUM(E101:E102)</f>
        <v>0</v>
      </c>
      <c r="G103" s="207" t="s">
        <v>64</v>
      </c>
      <c r="H103" s="208"/>
      <c r="I103" s="208"/>
      <c r="J103" s="208"/>
      <c r="K103" s="15">
        <f>SUM(K101:K102)</f>
        <v>0</v>
      </c>
    </row>
    <row r="105" spans="1:11" ht="13.8" thickBot="1" x14ac:dyDescent="0.3"/>
    <row r="106" spans="1:11" x14ac:dyDescent="0.25">
      <c r="A106" s="7" t="s">
        <v>86</v>
      </c>
      <c r="B106" s="8"/>
      <c r="C106" s="8"/>
      <c r="D106" s="8"/>
      <c r="E106" s="9"/>
      <c r="G106" s="7" t="s">
        <v>92</v>
      </c>
      <c r="H106" s="8"/>
      <c r="I106" s="8"/>
      <c r="J106" s="8"/>
      <c r="K106" s="9"/>
    </row>
    <row r="107" spans="1:11" x14ac:dyDescent="0.25">
      <c r="A107" s="10" t="s">
        <v>59</v>
      </c>
      <c r="B107" s="1" t="s">
        <v>60</v>
      </c>
      <c r="C107" s="1" t="s">
        <v>61</v>
      </c>
      <c r="D107" s="1" t="s">
        <v>10</v>
      </c>
      <c r="E107" s="11" t="s">
        <v>62</v>
      </c>
      <c r="G107" s="10" t="s">
        <v>59</v>
      </c>
      <c r="H107" s="1" t="s">
        <v>60</v>
      </c>
      <c r="I107" s="1" t="s">
        <v>61</v>
      </c>
      <c r="J107" s="1" t="s">
        <v>10</v>
      </c>
      <c r="K107" s="11" t="s">
        <v>62</v>
      </c>
    </row>
    <row r="108" spans="1:11" x14ac:dyDescent="0.25">
      <c r="A108" s="12" t="s">
        <v>11</v>
      </c>
      <c r="B108" s="2" t="s">
        <v>69</v>
      </c>
      <c r="C108" s="3">
        <v>2</v>
      </c>
      <c r="D108" s="4">
        <f>Salarios!$M$39</f>
        <v>0</v>
      </c>
      <c r="E108" s="13">
        <f>C108*D108</f>
        <v>0</v>
      </c>
      <c r="G108" s="14" t="s">
        <v>79</v>
      </c>
      <c r="H108" s="2" t="s">
        <v>69</v>
      </c>
      <c r="I108" s="3">
        <v>1</v>
      </c>
      <c r="J108" s="4">
        <f>Salarios!$M$11</f>
        <v>0</v>
      </c>
      <c r="K108" s="13">
        <f>I108*J108</f>
        <v>0</v>
      </c>
    </row>
    <row r="109" spans="1:11" x14ac:dyDescent="0.25">
      <c r="A109" s="14" t="s">
        <v>87</v>
      </c>
      <c r="B109" s="2" t="s">
        <v>69</v>
      </c>
      <c r="C109" s="3">
        <v>1</v>
      </c>
      <c r="D109" s="4">
        <f>Salarios!$M$31</f>
        <v>0</v>
      </c>
      <c r="E109" s="13">
        <f>C109*D109</f>
        <v>0</v>
      </c>
      <c r="G109" s="12" t="s">
        <v>85</v>
      </c>
      <c r="H109" s="2" t="s">
        <v>69</v>
      </c>
      <c r="I109" s="3">
        <v>1</v>
      </c>
      <c r="J109" s="4">
        <f>Salarios!$M$31</f>
        <v>0</v>
      </c>
      <c r="K109" s="13">
        <f>I109*J109</f>
        <v>0</v>
      </c>
    </row>
    <row r="110" spans="1:11" x14ac:dyDescent="0.25">
      <c r="A110" s="14"/>
      <c r="B110" s="2"/>
      <c r="C110" s="3"/>
      <c r="D110" s="4"/>
      <c r="E110" s="13">
        <f>C110*D110</f>
        <v>0</v>
      </c>
      <c r="G110" s="14"/>
      <c r="H110" s="2"/>
      <c r="I110" s="3"/>
      <c r="J110" s="4"/>
      <c r="K110" s="13">
        <f>I110*J110</f>
        <v>0</v>
      </c>
    </row>
    <row r="111" spans="1:11" x14ac:dyDescent="0.25">
      <c r="A111" s="14"/>
      <c r="B111" s="2"/>
      <c r="C111" s="3"/>
      <c r="D111" s="4"/>
      <c r="E111" s="13">
        <f>C111*D111</f>
        <v>0</v>
      </c>
      <c r="G111" s="14"/>
      <c r="H111" s="2"/>
      <c r="I111" s="3"/>
      <c r="J111" s="4"/>
      <c r="K111" s="13">
        <f>I111*J111</f>
        <v>0</v>
      </c>
    </row>
    <row r="112" spans="1:11" x14ac:dyDescent="0.25">
      <c r="A112" s="212" t="s">
        <v>63</v>
      </c>
      <c r="B112" s="213"/>
      <c r="C112" s="213"/>
      <c r="D112" s="213"/>
      <c r="E112" s="13"/>
      <c r="G112" s="212" t="s">
        <v>63</v>
      </c>
      <c r="H112" s="213"/>
      <c r="I112" s="213"/>
      <c r="J112" s="213"/>
      <c r="K112" s="13"/>
    </row>
    <row r="113" spans="1:11" x14ac:dyDescent="0.25">
      <c r="A113" s="14" t="s">
        <v>70</v>
      </c>
      <c r="B113" s="2" t="s">
        <v>69</v>
      </c>
      <c r="C113" s="5">
        <f>(C108+C109+C110+C111)/20</f>
        <v>0.15</v>
      </c>
      <c r="D113" s="4">
        <f>Salarios!$M$16</f>
        <v>0</v>
      </c>
      <c r="E113" s="13">
        <f>C113*D113</f>
        <v>0</v>
      </c>
      <c r="G113" s="14" t="s">
        <v>70</v>
      </c>
      <c r="H113" s="2" t="s">
        <v>69</v>
      </c>
      <c r="I113" s="5">
        <f>(I108+I109+I110+I111)/20</f>
        <v>0.1</v>
      </c>
      <c r="J113" s="4">
        <f>Salarios!$M$16</f>
        <v>0</v>
      </c>
      <c r="K113" s="13">
        <f>I113*J113</f>
        <v>0</v>
      </c>
    </row>
    <row r="114" spans="1:11" x14ac:dyDescent="0.25">
      <c r="A114" s="14" t="s">
        <v>58</v>
      </c>
      <c r="B114" s="2" t="s">
        <v>69</v>
      </c>
      <c r="C114" s="5">
        <f>(C108+C109+C110+C111)/60</f>
        <v>0.05</v>
      </c>
      <c r="D114" s="4">
        <f>Salarios!$M$26</f>
        <v>0</v>
      </c>
      <c r="E114" s="13">
        <f>C114*D114</f>
        <v>0</v>
      </c>
      <c r="G114" s="14" t="s">
        <v>58</v>
      </c>
      <c r="H114" s="2" t="s">
        <v>69</v>
      </c>
      <c r="I114" s="5">
        <f>(I108+I109+I110+I111)/60</f>
        <v>3.3333333333333333E-2</v>
      </c>
      <c r="J114" s="4">
        <f>Salarios!$M$26</f>
        <v>0</v>
      </c>
      <c r="K114" s="13">
        <f>I114*J114</f>
        <v>0</v>
      </c>
    </row>
    <row r="115" spans="1:11" x14ac:dyDescent="0.25">
      <c r="A115" s="205" t="s">
        <v>65</v>
      </c>
      <c r="B115" s="206"/>
      <c r="C115" s="206"/>
      <c r="D115" s="206"/>
      <c r="E115" s="13">
        <f>SUM(E108:E114)</f>
        <v>0</v>
      </c>
      <c r="G115" s="205" t="s">
        <v>65</v>
      </c>
      <c r="H115" s="206"/>
      <c r="I115" s="206"/>
      <c r="J115" s="206"/>
      <c r="K115" s="13">
        <f>SUM(K108:K114)</f>
        <v>0</v>
      </c>
    </row>
    <row r="116" spans="1:11" x14ac:dyDescent="0.25">
      <c r="A116" s="14" t="s">
        <v>66</v>
      </c>
      <c r="B116" s="2" t="s">
        <v>71</v>
      </c>
      <c r="C116" s="6">
        <v>0.04</v>
      </c>
      <c r="D116" s="4">
        <f>E115</f>
        <v>0</v>
      </c>
      <c r="E116" s="13">
        <f>C116*D116</f>
        <v>0</v>
      </c>
      <c r="G116" s="14" t="s">
        <v>66</v>
      </c>
      <c r="H116" s="2" t="s">
        <v>71</v>
      </c>
      <c r="I116" s="6">
        <v>0.04</v>
      </c>
      <c r="J116" s="4">
        <f>K115</f>
        <v>0</v>
      </c>
      <c r="K116" s="13">
        <f>I116*J116</f>
        <v>0</v>
      </c>
    </row>
    <row r="117" spans="1:11" ht="13.8" thickBot="1" x14ac:dyDescent="0.3">
      <c r="A117" s="207" t="s">
        <v>64</v>
      </c>
      <c r="B117" s="208"/>
      <c r="C117" s="208"/>
      <c r="D117" s="208"/>
      <c r="E117" s="15">
        <f>SUM(E115:E116)</f>
        <v>0</v>
      </c>
      <c r="G117" s="207" t="s">
        <v>64</v>
      </c>
      <c r="H117" s="208"/>
      <c r="I117" s="208"/>
      <c r="J117" s="208"/>
      <c r="K117" s="15">
        <f>SUM(K115:K116)</f>
        <v>0</v>
      </c>
    </row>
    <row r="119" spans="1:11" ht="13.8" thickBot="1" x14ac:dyDescent="0.3"/>
    <row r="120" spans="1:11" x14ac:dyDescent="0.25">
      <c r="A120" s="7" t="s">
        <v>88</v>
      </c>
      <c r="B120" s="8"/>
      <c r="C120" s="8"/>
      <c r="D120" s="8"/>
      <c r="E120" s="9"/>
      <c r="G120" s="7" t="s">
        <v>93</v>
      </c>
      <c r="H120" s="8"/>
      <c r="I120" s="8"/>
      <c r="J120" s="8"/>
      <c r="K120" s="9"/>
    </row>
    <row r="121" spans="1:11" x14ac:dyDescent="0.25">
      <c r="A121" s="10" t="s">
        <v>59</v>
      </c>
      <c r="B121" s="1" t="s">
        <v>60</v>
      </c>
      <c r="C121" s="1" t="s">
        <v>61</v>
      </c>
      <c r="D121" s="1" t="s">
        <v>10</v>
      </c>
      <c r="E121" s="11" t="s">
        <v>62</v>
      </c>
      <c r="G121" s="10" t="s">
        <v>59</v>
      </c>
      <c r="H121" s="1" t="s">
        <v>60</v>
      </c>
      <c r="I121" s="1" t="s">
        <v>61</v>
      </c>
      <c r="J121" s="1" t="s">
        <v>10</v>
      </c>
      <c r="K121" s="11" t="s">
        <v>62</v>
      </c>
    </row>
    <row r="122" spans="1:11" x14ac:dyDescent="0.25">
      <c r="A122" s="12" t="s">
        <v>11</v>
      </c>
      <c r="B122" s="2" t="s">
        <v>69</v>
      </c>
      <c r="C122" s="3">
        <v>3</v>
      </c>
      <c r="D122" s="4">
        <f>Salarios!$M$39</f>
        <v>0</v>
      </c>
      <c r="E122" s="13">
        <f>C122*D122</f>
        <v>0</v>
      </c>
      <c r="G122" s="12" t="s">
        <v>79</v>
      </c>
      <c r="H122" s="2" t="s">
        <v>69</v>
      </c>
      <c r="I122" s="3">
        <v>1</v>
      </c>
      <c r="J122" s="4">
        <f>Salarios!$M$11</f>
        <v>0</v>
      </c>
      <c r="K122" s="13">
        <f>I122*J122</f>
        <v>0</v>
      </c>
    </row>
    <row r="123" spans="1:11" x14ac:dyDescent="0.25">
      <c r="A123" s="14" t="s">
        <v>87</v>
      </c>
      <c r="B123" s="2" t="s">
        <v>69</v>
      </c>
      <c r="C123" s="3">
        <v>1</v>
      </c>
      <c r="D123" s="4">
        <f>Salarios!$M$31</f>
        <v>0</v>
      </c>
      <c r="E123" s="13">
        <f>C123*D123</f>
        <v>0</v>
      </c>
      <c r="G123" s="14" t="s">
        <v>16</v>
      </c>
      <c r="H123" s="2" t="s">
        <v>69</v>
      </c>
      <c r="I123" s="3">
        <v>1</v>
      </c>
      <c r="J123" s="4">
        <f>Salarios!$M$33</f>
        <v>0</v>
      </c>
      <c r="K123" s="13">
        <f>I123*J123</f>
        <v>0</v>
      </c>
    </row>
    <row r="124" spans="1:11" x14ac:dyDescent="0.25">
      <c r="A124" s="14"/>
      <c r="B124" s="2"/>
      <c r="C124" s="3"/>
      <c r="D124" s="4"/>
      <c r="E124" s="13">
        <f>C124*D124</f>
        <v>0</v>
      </c>
      <c r="G124" s="14"/>
      <c r="H124" s="2"/>
      <c r="I124" s="3"/>
      <c r="J124" s="4"/>
      <c r="K124" s="13">
        <f>I124*J124</f>
        <v>0</v>
      </c>
    </row>
    <row r="125" spans="1:11" x14ac:dyDescent="0.25">
      <c r="A125" s="14"/>
      <c r="B125" s="2"/>
      <c r="C125" s="3"/>
      <c r="D125" s="4"/>
      <c r="E125" s="13">
        <f>C125*D125</f>
        <v>0</v>
      </c>
      <c r="G125" s="14"/>
      <c r="H125" s="2"/>
      <c r="I125" s="3"/>
      <c r="J125" s="4"/>
      <c r="K125" s="13">
        <f>I125*J125</f>
        <v>0</v>
      </c>
    </row>
    <row r="126" spans="1:11" x14ac:dyDescent="0.25">
      <c r="A126" s="212" t="s">
        <v>63</v>
      </c>
      <c r="B126" s="213"/>
      <c r="C126" s="213"/>
      <c r="D126" s="213"/>
      <c r="E126" s="13"/>
      <c r="G126" s="212" t="s">
        <v>63</v>
      </c>
      <c r="H126" s="213"/>
      <c r="I126" s="213"/>
      <c r="J126" s="213"/>
      <c r="K126" s="13"/>
    </row>
    <row r="127" spans="1:11" x14ac:dyDescent="0.25">
      <c r="A127" s="14" t="s">
        <v>70</v>
      </c>
      <c r="B127" s="2" t="s">
        <v>69</v>
      </c>
      <c r="C127" s="5">
        <f>(C122+C123+C124+C125)/20</f>
        <v>0.2</v>
      </c>
      <c r="D127" s="4">
        <f>Salarios!$M$16</f>
        <v>0</v>
      </c>
      <c r="E127" s="13">
        <f>C127*D127</f>
        <v>0</v>
      </c>
      <c r="G127" s="14" t="s">
        <v>70</v>
      </c>
      <c r="H127" s="2" t="s">
        <v>69</v>
      </c>
      <c r="I127" s="5">
        <f>(I122+I123+I124+I125)/20</f>
        <v>0.1</v>
      </c>
      <c r="J127" s="4">
        <f>Salarios!$M$16</f>
        <v>0</v>
      </c>
      <c r="K127" s="13">
        <f>I127*J127</f>
        <v>0</v>
      </c>
    </row>
    <row r="128" spans="1:11" x14ac:dyDescent="0.25">
      <c r="A128" s="14" t="s">
        <v>58</v>
      </c>
      <c r="B128" s="2" t="s">
        <v>69</v>
      </c>
      <c r="C128" s="5">
        <f>(C122+C123+C124+C125)/60</f>
        <v>6.6666666666666666E-2</v>
      </c>
      <c r="D128" s="4">
        <f>Salarios!$M$26</f>
        <v>0</v>
      </c>
      <c r="E128" s="13">
        <f>C128*D128</f>
        <v>0</v>
      </c>
      <c r="G128" s="14" t="s">
        <v>58</v>
      </c>
      <c r="H128" s="2" t="s">
        <v>69</v>
      </c>
      <c r="I128" s="5">
        <f>(I122+I123+I124+I125)/60</f>
        <v>3.3333333333333333E-2</v>
      </c>
      <c r="J128" s="4">
        <f>Salarios!$M$26</f>
        <v>0</v>
      </c>
      <c r="K128" s="13">
        <f>I128*J128</f>
        <v>0</v>
      </c>
    </row>
    <row r="129" spans="1:11" x14ac:dyDescent="0.25">
      <c r="A129" s="205" t="s">
        <v>65</v>
      </c>
      <c r="B129" s="206"/>
      <c r="C129" s="206"/>
      <c r="D129" s="206"/>
      <c r="E129" s="13">
        <f>SUM(E122:E128)</f>
        <v>0</v>
      </c>
      <c r="G129" s="205" t="s">
        <v>65</v>
      </c>
      <c r="H129" s="206"/>
      <c r="I129" s="206"/>
      <c r="J129" s="206"/>
      <c r="K129" s="13">
        <f>SUM(K122:K128)</f>
        <v>0</v>
      </c>
    </row>
    <row r="130" spans="1:11" x14ac:dyDescent="0.25">
      <c r="A130" s="14" t="s">
        <v>66</v>
      </c>
      <c r="B130" s="2" t="s">
        <v>71</v>
      </c>
      <c r="C130" s="6">
        <v>0.04</v>
      </c>
      <c r="D130" s="4">
        <f>E129</f>
        <v>0</v>
      </c>
      <c r="E130" s="13">
        <f>C130*D130</f>
        <v>0</v>
      </c>
      <c r="G130" s="14" t="s">
        <v>66</v>
      </c>
      <c r="H130" s="2" t="s">
        <v>71</v>
      </c>
      <c r="I130" s="6">
        <v>0.04</v>
      </c>
      <c r="J130" s="4">
        <f>K129</f>
        <v>0</v>
      </c>
      <c r="K130" s="13">
        <f>I130*J130</f>
        <v>0</v>
      </c>
    </row>
    <row r="131" spans="1:11" ht="13.8" thickBot="1" x14ac:dyDescent="0.3">
      <c r="A131" s="207" t="s">
        <v>64</v>
      </c>
      <c r="B131" s="208"/>
      <c r="C131" s="208"/>
      <c r="D131" s="208"/>
      <c r="E131" s="15">
        <f>SUM(E129:E130)</f>
        <v>0</v>
      </c>
      <c r="G131" s="207" t="s">
        <v>64</v>
      </c>
      <c r="H131" s="208"/>
      <c r="I131" s="208"/>
      <c r="J131" s="208"/>
      <c r="K131" s="15">
        <f>SUM(K129:K130)</f>
        <v>0</v>
      </c>
    </row>
    <row r="133" spans="1:11" ht="13.8" thickBot="1" x14ac:dyDescent="0.3"/>
    <row r="134" spans="1:11" x14ac:dyDescent="0.25">
      <c r="A134" s="7" t="s">
        <v>89</v>
      </c>
      <c r="B134" s="8"/>
      <c r="C134" s="8"/>
      <c r="D134" s="8"/>
      <c r="E134" s="9"/>
      <c r="G134" s="7" t="s">
        <v>94</v>
      </c>
      <c r="H134" s="8"/>
      <c r="I134" s="8"/>
      <c r="J134" s="8"/>
      <c r="K134" s="9"/>
    </row>
    <row r="135" spans="1:11" x14ac:dyDescent="0.25">
      <c r="A135" s="10" t="s">
        <v>59</v>
      </c>
      <c r="B135" s="1" t="s">
        <v>60</v>
      </c>
      <c r="C135" s="1" t="s">
        <v>61</v>
      </c>
      <c r="D135" s="1" t="s">
        <v>10</v>
      </c>
      <c r="E135" s="11" t="s">
        <v>62</v>
      </c>
      <c r="G135" s="10" t="s">
        <v>59</v>
      </c>
      <c r="H135" s="1" t="s">
        <v>60</v>
      </c>
      <c r="I135" s="1" t="s">
        <v>61</v>
      </c>
      <c r="J135" s="1" t="s">
        <v>10</v>
      </c>
      <c r="K135" s="11" t="s">
        <v>62</v>
      </c>
    </row>
    <row r="136" spans="1:11" x14ac:dyDescent="0.25">
      <c r="A136" s="12" t="s">
        <v>11</v>
      </c>
      <c r="B136" s="2" t="s">
        <v>69</v>
      </c>
      <c r="C136" s="3">
        <v>4</v>
      </c>
      <c r="D136" s="4">
        <f>Salarios!$M$39</f>
        <v>0</v>
      </c>
      <c r="E136" s="13">
        <f>C136*D136</f>
        <v>0</v>
      </c>
      <c r="G136" s="12" t="s">
        <v>79</v>
      </c>
      <c r="H136" s="2" t="s">
        <v>69</v>
      </c>
      <c r="I136" s="3">
        <v>2</v>
      </c>
      <c r="J136" s="4">
        <f>Salarios!$M$11</f>
        <v>0</v>
      </c>
      <c r="K136" s="13">
        <f>I136*J136</f>
        <v>0</v>
      </c>
    </row>
    <row r="137" spans="1:11" x14ac:dyDescent="0.25">
      <c r="A137" s="14" t="s">
        <v>87</v>
      </c>
      <c r="B137" s="2" t="s">
        <v>69</v>
      </c>
      <c r="C137" s="3">
        <v>1</v>
      </c>
      <c r="D137" s="4">
        <f>Salarios!$M$31</f>
        <v>0</v>
      </c>
      <c r="E137" s="13">
        <f>C137*D137</f>
        <v>0</v>
      </c>
      <c r="G137" s="14" t="s">
        <v>16</v>
      </c>
      <c r="H137" s="2" t="s">
        <v>69</v>
      </c>
      <c r="I137" s="3">
        <v>2</v>
      </c>
      <c r="J137" s="4">
        <f>Salarios!$M$33</f>
        <v>0</v>
      </c>
      <c r="K137" s="13">
        <f>I137*J137</f>
        <v>0</v>
      </c>
    </row>
    <row r="138" spans="1:11" x14ac:dyDescent="0.25">
      <c r="A138" s="14"/>
      <c r="B138" s="2"/>
      <c r="C138" s="3"/>
      <c r="D138" s="4"/>
      <c r="E138" s="13">
        <f>C138*D138</f>
        <v>0</v>
      </c>
      <c r="G138" s="14"/>
      <c r="H138" s="2"/>
      <c r="I138" s="3"/>
      <c r="J138" s="4"/>
      <c r="K138" s="13">
        <f>I138*J138</f>
        <v>0</v>
      </c>
    </row>
    <row r="139" spans="1:11" x14ac:dyDescent="0.25">
      <c r="A139" s="14"/>
      <c r="B139" s="2"/>
      <c r="C139" s="3"/>
      <c r="D139" s="4"/>
      <c r="E139" s="13">
        <f>C139*D139</f>
        <v>0</v>
      </c>
      <c r="G139" s="14"/>
      <c r="H139" s="2"/>
      <c r="I139" s="3"/>
      <c r="J139" s="4"/>
      <c r="K139" s="13">
        <f>I139*J139</f>
        <v>0</v>
      </c>
    </row>
    <row r="140" spans="1:11" x14ac:dyDescent="0.25">
      <c r="A140" s="212" t="s">
        <v>63</v>
      </c>
      <c r="B140" s="213"/>
      <c r="C140" s="213"/>
      <c r="D140" s="213"/>
      <c r="E140" s="13"/>
      <c r="G140" s="212" t="s">
        <v>63</v>
      </c>
      <c r="H140" s="213"/>
      <c r="I140" s="213"/>
      <c r="J140" s="213"/>
      <c r="K140" s="13"/>
    </row>
    <row r="141" spans="1:11" x14ac:dyDescent="0.25">
      <c r="A141" s="14" t="s">
        <v>70</v>
      </c>
      <c r="B141" s="2" t="s">
        <v>69</v>
      </c>
      <c r="C141" s="5">
        <f>(C136+C137+C138+C139)/20</f>
        <v>0.25</v>
      </c>
      <c r="D141" s="4">
        <f>Salarios!$M$16</f>
        <v>0</v>
      </c>
      <c r="E141" s="13">
        <f>C141*D141</f>
        <v>0</v>
      </c>
      <c r="G141" s="14" t="s">
        <v>70</v>
      </c>
      <c r="H141" s="2" t="s">
        <v>69</v>
      </c>
      <c r="I141" s="5">
        <f>(I136+I137+I138+I139)/20</f>
        <v>0.2</v>
      </c>
      <c r="J141" s="4">
        <f>Salarios!$M$16</f>
        <v>0</v>
      </c>
      <c r="K141" s="13">
        <f>I141*J141</f>
        <v>0</v>
      </c>
    </row>
    <row r="142" spans="1:11" x14ac:dyDescent="0.25">
      <c r="A142" s="14" t="s">
        <v>58</v>
      </c>
      <c r="B142" s="2" t="s">
        <v>69</v>
      </c>
      <c r="C142" s="5">
        <f>(C136+C137+C138+C139)/60</f>
        <v>8.3333333333333329E-2</v>
      </c>
      <c r="D142" s="4">
        <f>Salarios!$M$26</f>
        <v>0</v>
      </c>
      <c r="E142" s="13">
        <f>C142*D142</f>
        <v>0</v>
      </c>
      <c r="G142" s="14" t="s">
        <v>58</v>
      </c>
      <c r="H142" s="2" t="s">
        <v>69</v>
      </c>
      <c r="I142" s="5">
        <f>(I136+I137+I138+I139)/60</f>
        <v>6.6666666666666666E-2</v>
      </c>
      <c r="J142" s="4">
        <f>Salarios!$M$26</f>
        <v>0</v>
      </c>
      <c r="K142" s="13">
        <f>I142*J142</f>
        <v>0</v>
      </c>
    </row>
    <row r="143" spans="1:11" x14ac:dyDescent="0.25">
      <c r="A143" s="205" t="s">
        <v>65</v>
      </c>
      <c r="B143" s="206"/>
      <c r="C143" s="206"/>
      <c r="D143" s="206"/>
      <c r="E143" s="13">
        <f>SUM(E136:E142)</f>
        <v>0</v>
      </c>
      <c r="G143" s="205" t="s">
        <v>65</v>
      </c>
      <c r="H143" s="206"/>
      <c r="I143" s="206"/>
      <c r="J143" s="206"/>
      <c r="K143" s="13">
        <f>SUM(K136:K142)</f>
        <v>0</v>
      </c>
    </row>
    <row r="144" spans="1:11" x14ac:dyDescent="0.25">
      <c r="A144" s="14" t="s">
        <v>66</v>
      </c>
      <c r="B144" s="2" t="s">
        <v>71</v>
      </c>
      <c r="C144" s="6">
        <v>0.04</v>
      </c>
      <c r="D144" s="4">
        <f>E143</f>
        <v>0</v>
      </c>
      <c r="E144" s="13">
        <f>C144*D144</f>
        <v>0</v>
      </c>
      <c r="G144" s="14" t="s">
        <v>66</v>
      </c>
      <c r="H144" s="2" t="s">
        <v>71</v>
      </c>
      <c r="I144" s="6">
        <v>0.04</v>
      </c>
      <c r="J144" s="4">
        <f>K143</f>
        <v>0</v>
      </c>
      <c r="K144" s="13">
        <f>I144*J144</f>
        <v>0</v>
      </c>
    </row>
    <row r="145" spans="1:11" ht="13.8" thickBot="1" x14ac:dyDescent="0.3">
      <c r="A145" s="207" t="s">
        <v>64</v>
      </c>
      <c r="B145" s="208"/>
      <c r="C145" s="208"/>
      <c r="D145" s="208"/>
      <c r="E145" s="15">
        <f>SUM(E143:E144)</f>
        <v>0</v>
      </c>
      <c r="G145" s="207" t="s">
        <v>64</v>
      </c>
      <c r="H145" s="208"/>
      <c r="I145" s="208"/>
      <c r="J145" s="208"/>
      <c r="K145" s="15">
        <f>SUM(K143:K144)</f>
        <v>0</v>
      </c>
    </row>
    <row r="147" spans="1:11" ht="13.8" thickBot="1" x14ac:dyDescent="0.3"/>
    <row r="148" spans="1:11" x14ac:dyDescent="0.25">
      <c r="A148" s="7" t="s">
        <v>95</v>
      </c>
      <c r="B148" s="8"/>
      <c r="C148" s="8"/>
      <c r="D148" s="8"/>
      <c r="E148" s="9"/>
      <c r="G148" s="7" t="s">
        <v>101</v>
      </c>
      <c r="H148" s="8"/>
      <c r="I148" s="8"/>
      <c r="J148" s="8"/>
      <c r="K148" s="9"/>
    </row>
    <row r="149" spans="1:11" x14ac:dyDescent="0.25">
      <c r="A149" s="10" t="s">
        <v>59</v>
      </c>
      <c r="B149" s="1" t="s">
        <v>60</v>
      </c>
      <c r="C149" s="1" t="s">
        <v>61</v>
      </c>
      <c r="D149" s="1" t="s">
        <v>10</v>
      </c>
      <c r="E149" s="11" t="s">
        <v>62</v>
      </c>
      <c r="G149" s="10" t="s">
        <v>59</v>
      </c>
      <c r="H149" s="1" t="s">
        <v>60</v>
      </c>
      <c r="I149" s="1" t="s">
        <v>61</v>
      </c>
      <c r="J149" s="1" t="s">
        <v>10</v>
      </c>
      <c r="K149" s="11" t="s">
        <v>62</v>
      </c>
    </row>
    <row r="150" spans="1:11" x14ac:dyDescent="0.25">
      <c r="A150" s="12" t="s">
        <v>96</v>
      </c>
      <c r="B150" s="2" t="s">
        <v>69</v>
      </c>
      <c r="C150" s="3">
        <v>1</v>
      </c>
      <c r="D150" s="4">
        <f>Salarios!$M$19</f>
        <v>0</v>
      </c>
      <c r="E150" s="13">
        <f>C150*D150</f>
        <v>0</v>
      </c>
      <c r="G150" s="14" t="s">
        <v>79</v>
      </c>
      <c r="H150" s="2" t="s">
        <v>69</v>
      </c>
      <c r="I150" s="3">
        <v>1</v>
      </c>
      <c r="J150" s="4">
        <f>Salarios!$M$11</f>
        <v>0</v>
      </c>
      <c r="K150" s="13">
        <f>I150*J150</f>
        <v>0</v>
      </c>
    </row>
    <row r="151" spans="1:11" x14ac:dyDescent="0.25">
      <c r="A151" s="14" t="s">
        <v>79</v>
      </c>
      <c r="B151" s="2" t="s">
        <v>69</v>
      </c>
      <c r="C151" s="3">
        <v>1</v>
      </c>
      <c r="D151" s="4">
        <f>Salarios!$M$11</f>
        <v>0</v>
      </c>
      <c r="E151" s="13">
        <f>C151*D151</f>
        <v>0</v>
      </c>
      <c r="G151" s="12" t="s">
        <v>21</v>
      </c>
      <c r="H151" s="2" t="s">
        <v>69</v>
      </c>
      <c r="I151" s="3">
        <v>1</v>
      </c>
      <c r="J151" s="4">
        <f>Salarios!$M$40</f>
        <v>0</v>
      </c>
      <c r="K151" s="13">
        <f>I151*J151</f>
        <v>0</v>
      </c>
    </row>
    <row r="152" spans="1:11" x14ac:dyDescent="0.25">
      <c r="A152" s="14"/>
      <c r="B152" s="2"/>
      <c r="C152" s="3"/>
      <c r="D152" s="4"/>
      <c r="E152" s="13">
        <f>C152*D152</f>
        <v>0</v>
      </c>
      <c r="G152" s="14"/>
      <c r="H152" s="2"/>
      <c r="I152" s="3"/>
      <c r="J152" s="4"/>
      <c r="K152" s="13">
        <f>I152*J152</f>
        <v>0</v>
      </c>
    </row>
    <row r="153" spans="1:11" x14ac:dyDescent="0.25">
      <c r="A153" s="14"/>
      <c r="B153" s="2"/>
      <c r="C153" s="3"/>
      <c r="D153" s="4"/>
      <c r="E153" s="13">
        <f>C153*D153</f>
        <v>0</v>
      </c>
      <c r="G153" s="14"/>
      <c r="H153" s="2"/>
      <c r="I153" s="3"/>
      <c r="J153" s="4"/>
      <c r="K153" s="13">
        <f>I153*J153</f>
        <v>0</v>
      </c>
    </row>
    <row r="154" spans="1:11" x14ac:dyDescent="0.25">
      <c r="A154" s="212" t="s">
        <v>63</v>
      </c>
      <c r="B154" s="213"/>
      <c r="C154" s="213"/>
      <c r="D154" s="213"/>
      <c r="E154" s="13"/>
      <c r="G154" s="212" t="s">
        <v>63</v>
      </c>
      <c r="H154" s="213"/>
      <c r="I154" s="213"/>
      <c r="J154" s="213"/>
      <c r="K154" s="13"/>
    </row>
    <row r="155" spans="1:11" x14ac:dyDescent="0.25">
      <c r="A155" s="14" t="s">
        <v>70</v>
      </c>
      <c r="B155" s="2" t="s">
        <v>69</v>
      </c>
      <c r="C155" s="5">
        <f>(C150+C151+C152+C153)/20</f>
        <v>0.1</v>
      </c>
      <c r="D155" s="4">
        <f>Salarios!$M$16</f>
        <v>0</v>
      </c>
      <c r="E155" s="13">
        <f>C155*D155</f>
        <v>0</v>
      </c>
      <c r="G155" s="14" t="s">
        <v>70</v>
      </c>
      <c r="H155" s="2" t="s">
        <v>69</v>
      </c>
      <c r="I155" s="5">
        <f>(I150+I151+I152+I153)/20</f>
        <v>0.1</v>
      </c>
      <c r="J155" s="4">
        <f>Salarios!$M$16</f>
        <v>0</v>
      </c>
      <c r="K155" s="13">
        <f>I155*J155</f>
        <v>0</v>
      </c>
    </row>
    <row r="156" spans="1:11" x14ac:dyDescent="0.25">
      <c r="A156" s="14" t="s">
        <v>58</v>
      </c>
      <c r="B156" s="2" t="s">
        <v>69</v>
      </c>
      <c r="C156" s="5">
        <f>(C150+C151+C152+C153)/60</f>
        <v>3.3333333333333333E-2</v>
      </c>
      <c r="D156" s="4">
        <f>Salarios!$M$26</f>
        <v>0</v>
      </c>
      <c r="E156" s="13">
        <f>C156*D156</f>
        <v>0</v>
      </c>
      <c r="G156" s="14" t="s">
        <v>58</v>
      </c>
      <c r="H156" s="2" t="s">
        <v>69</v>
      </c>
      <c r="I156" s="5">
        <f>(I150+I151+I152+I153)/60</f>
        <v>3.3333333333333333E-2</v>
      </c>
      <c r="J156" s="4">
        <f>Salarios!$M$26</f>
        <v>0</v>
      </c>
      <c r="K156" s="13">
        <f>I156*J156</f>
        <v>0</v>
      </c>
    </row>
    <row r="157" spans="1:11" x14ac:dyDescent="0.25">
      <c r="A157" s="205" t="s">
        <v>65</v>
      </c>
      <c r="B157" s="206"/>
      <c r="C157" s="206"/>
      <c r="D157" s="206"/>
      <c r="E157" s="13">
        <f>SUM(E150:E156)</f>
        <v>0</v>
      </c>
      <c r="G157" s="205" t="s">
        <v>65</v>
      </c>
      <c r="H157" s="206"/>
      <c r="I157" s="206"/>
      <c r="J157" s="206"/>
      <c r="K157" s="13">
        <f>SUM(K150:K156)</f>
        <v>0</v>
      </c>
    </row>
    <row r="158" spans="1:11" x14ac:dyDescent="0.25">
      <c r="A158" s="14" t="s">
        <v>66</v>
      </c>
      <c r="B158" s="2" t="s">
        <v>71</v>
      </c>
      <c r="C158" s="6">
        <v>0.04</v>
      </c>
      <c r="D158" s="4">
        <f>E157</f>
        <v>0</v>
      </c>
      <c r="E158" s="13">
        <f>C158*D158</f>
        <v>0</v>
      </c>
      <c r="G158" s="14" t="s">
        <v>66</v>
      </c>
      <c r="H158" s="2" t="s">
        <v>71</v>
      </c>
      <c r="I158" s="6">
        <v>0.04</v>
      </c>
      <c r="J158" s="4">
        <f>K157</f>
        <v>0</v>
      </c>
      <c r="K158" s="13">
        <f>I158*J158</f>
        <v>0</v>
      </c>
    </row>
    <row r="159" spans="1:11" ht="13.8" thickBot="1" x14ac:dyDescent="0.3">
      <c r="A159" s="207" t="s">
        <v>64</v>
      </c>
      <c r="B159" s="208"/>
      <c r="C159" s="208"/>
      <c r="D159" s="208"/>
      <c r="E159" s="15">
        <f>SUM(E157:E158)</f>
        <v>0</v>
      </c>
      <c r="G159" s="207" t="s">
        <v>64</v>
      </c>
      <c r="H159" s="208"/>
      <c r="I159" s="208"/>
      <c r="J159" s="208"/>
      <c r="K159" s="15">
        <f>SUM(K157:K158)</f>
        <v>0</v>
      </c>
    </row>
    <row r="161" spans="1:11" ht="13.8" thickBot="1" x14ac:dyDescent="0.3"/>
    <row r="162" spans="1:11" x14ac:dyDescent="0.25">
      <c r="A162" s="7" t="s">
        <v>97</v>
      </c>
      <c r="B162" s="8"/>
      <c r="C162" s="8"/>
      <c r="D162" s="8"/>
      <c r="E162" s="9"/>
      <c r="G162" s="7" t="s">
        <v>102</v>
      </c>
      <c r="H162" s="8"/>
      <c r="I162" s="8"/>
      <c r="J162" s="8"/>
      <c r="K162" s="9"/>
    </row>
    <row r="163" spans="1:11" x14ac:dyDescent="0.25">
      <c r="A163" s="10" t="s">
        <v>59</v>
      </c>
      <c r="B163" s="1" t="s">
        <v>60</v>
      </c>
      <c r="C163" s="1" t="s">
        <v>61</v>
      </c>
      <c r="D163" s="1" t="s">
        <v>10</v>
      </c>
      <c r="E163" s="11" t="s">
        <v>62</v>
      </c>
      <c r="G163" s="10" t="s">
        <v>59</v>
      </c>
      <c r="H163" s="1" t="s">
        <v>60</v>
      </c>
      <c r="I163" s="1" t="s">
        <v>61</v>
      </c>
      <c r="J163" s="1" t="s">
        <v>10</v>
      </c>
      <c r="K163" s="11" t="s">
        <v>62</v>
      </c>
    </row>
    <row r="164" spans="1:11" x14ac:dyDescent="0.25">
      <c r="A164" s="12" t="s">
        <v>82</v>
      </c>
      <c r="B164" s="2" t="s">
        <v>69</v>
      </c>
      <c r="C164" s="3">
        <v>1</v>
      </c>
      <c r="D164" s="4">
        <f>Salarios!$M$10</f>
        <v>0</v>
      </c>
      <c r="E164" s="13">
        <f>C164*D164</f>
        <v>0</v>
      </c>
      <c r="G164" s="14" t="s">
        <v>79</v>
      </c>
      <c r="H164" s="2" t="s">
        <v>69</v>
      </c>
      <c r="I164" s="3">
        <v>1</v>
      </c>
      <c r="J164" s="4">
        <f>Salarios!$M$11</f>
        <v>0</v>
      </c>
      <c r="K164" s="13">
        <f>I164*J164</f>
        <v>0</v>
      </c>
    </row>
    <row r="165" spans="1:11" x14ac:dyDescent="0.25">
      <c r="A165" s="12" t="s">
        <v>18</v>
      </c>
      <c r="B165" s="2" t="s">
        <v>69</v>
      </c>
      <c r="C165" s="3">
        <v>1</v>
      </c>
      <c r="D165" s="4">
        <f>Salarios!$M$18</f>
        <v>0</v>
      </c>
      <c r="E165" s="13">
        <f>C165*D165</f>
        <v>0</v>
      </c>
      <c r="G165" s="12" t="s">
        <v>22</v>
      </c>
      <c r="H165" s="2" t="s">
        <v>69</v>
      </c>
      <c r="I165" s="3">
        <v>1</v>
      </c>
      <c r="J165" s="4">
        <f>Salarios!$M$24</f>
        <v>0</v>
      </c>
      <c r="K165" s="13">
        <f>I165*J165</f>
        <v>0</v>
      </c>
    </row>
    <row r="166" spans="1:11" x14ac:dyDescent="0.25">
      <c r="A166" s="14"/>
      <c r="B166" s="2"/>
      <c r="C166" s="3"/>
      <c r="D166" s="4"/>
      <c r="E166" s="13">
        <f>C166*D166</f>
        <v>0</v>
      </c>
      <c r="G166" s="14"/>
      <c r="H166" s="2"/>
      <c r="I166" s="3"/>
      <c r="J166" s="4"/>
      <c r="K166" s="13">
        <f>I166*J166</f>
        <v>0</v>
      </c>
    </row>
    <row r="167" spans="1:11" x14ac:dyDescent="0.25">
      <c r="A167" s="14"/>
      <c r="B167" s="2"/>
      <c r="C167" s="3"/>
      <c r="D167" s="4"/>
      <c r="E167" s="13">
        <f>C167*D167</f>
        <v>0</v>
      </c>
      <c r="G167" s="14"/>
      <c r="H167" s="2"/>
      <c r="I167" s="3"/>
      <c r="J167" s="4"/>
      <c r="K167" s="13">
        <f>I167*J167</f>
        <v>0</v>
      </c>
    </row>
    <row r="168" spans="1:11" x14ac:dyDescent="0.25">
      <c r="A168" s="212" t="s">
        <v>63</v>
      </c>
      <c r="B168" s="213"/>
      <c r="C168" s="213"/>
      <c r="D168" s="213"/>
      <c r="E168" s="13"/>
      <c r="G168" s="212" t="s">
        <v>63</v>
      </c>
      <c r="H168" s="213"/>
      <c r="I168" s="213"/>
      <c r="J168" s="213"/>
      <c r="K168" s="13"/>
    </row>
    <row r="169" spans="1:11" x14ac:dyDescent="0.25">
      <c r="A169" s="14" t="s">
        <v>70</v>
      </c>
      <c r="B169" s="2" t="s">
        <v>69</v>
      </c>
      <c r="C169" s="5">
        <f>(C164+C165+C166+C167)/20</f>
        <v>0.1</v>
      </c>
      <c r="D169" s="4">
        <f>Salarios!$M$16</f>
        <v>0</v>
      </c>
      <c r="E169" s="13">
        <f>C169*D169</f>
        <v>0</v>
      </c>
      <c r="G169" s="14"/>
      <c r="H169" s="2"/>
      <c r="I169" s="5"/>
      <c r="J169" s="4"/>
      <c r="K169" s="13">
        <f>I169*J169</f>
        <v>0</v>
      </c>
    </row>
    <row r="170" spans="1:11" x14ac:dyDescent="0.25">
      <c r="A170" s="14" t="s">
        <v>58</v>
      </c>
      <c r="B170" s="2" t="s">
        <v>69</v>
      </c>
      <c r="C170" s="5">
        <f>(C164+C165+C166+C167)/60</f>
        <v>3.3333333333333333E-2</v>
      </c>
      <c r="D170" s="4">
        <f>Salarios!$M$26</f>
        <v>0</v>
      </c>
      <c r="E170" s="13">
        <f>C170*D170</f>
        <v>0</v>
      </c>
      <c r="G170" s="14" t="s">
        <v>58</v>
      </c>
      <c r="H170" s="2" t="s">
        <v>69</v>
      </c>
      <c r="I170" s="5">
        <f>(I164+I165+I166+I167)/60</f>
        <v>3.3333333333333333E-2</v>
      </c>
      <c r="J170" s="4">
        <f>Salarios!$M$26</f>
        <v>0</v>
      </c>
      <c r="K170" s="13">
        <f>I170*J170</f>
        <v>0</v>
      </c>
    </row>
    <row r="171" spans="1:11" x14ac:dyDescent="0.25">
      <c r="A171" s="205" t="s">
        <v>65</v>
      </c>
      <c r="B171" s="206"/>
      <c r="C171" s="206"/>
      <c r="D171" s="206"/>
      <c r="E171" s="13">
        <f>SUM(E164:E170)</f>
        <v>0</v>
      </c>
      <c r="G171" s="205" t="s">
        <v>65</v>
      </c>
      <c r="H171" s="206"/>
      <c r="I171" s="206"/>
      <c r="J171" s="206"/>
      <c r="K171" s="13">
        <f>SUM(K164:K170)</f>
        <v>0</v>
      </c>
    </row>
    <row r="172" spans="1:11" x14ac:dyDescent="0.25">
      <c r="A172" s="14" t="s">
        <v>66</v>
      </c>
      <c r="B172" s="2" t="s">
        <v>71</v>
      </c>
      <c r="C172" s="6">
        <v>0.04</v>
      </c>
      <c r="D172" s="4">
        <f>E171</f>
        <v>0</v>
      </c>
      <c r="E172" s="13">
        <f>C172*D172</f>
        <v>0</v>
      </c>
      <c r="G172" s="14" t="s">
        <v>66</v>
      </c>
      <c r="H172" s="2" t="s">
        <v>71</v>
      </c>
      <c r="I172" s="6">
        <v>0.04</v>
      </c>
      <c r="J172" s="4">
        <f>K171</f>
        <v>0</v>
      </c>
      <c r="K172" s="13">
        <f>I172*J172</f>
        <v>0</v>
      </c>
    </row>
    <row r="173" spans="1:11" ht="13.8" thickBot="1" x14ac:dyDescent="0.3">
      <c r="A173" s="207" t="s">
        <v>64</v>
      </c>
      <c r="B173" s="208"/>
      <c r="C173" s="208"/>
      <c r="D173" s="208"/>
      <c r="E173" s="15">
        <f>SUM(E171:E172)</f>
        <v>0</v>
      </c>
      <c r="G173" s="207" t="s">
        <v>64</v>
      </c>
      <c r="H173" s="208"/>
      <c r="I173" s="208"/>
      <c r="J173" s="208"/>
      <c r="K173" s="15">
        <f>SUM(K171:K172)</f>
        <v>0</v>
      </c>
    </row>
    <row r="175" spans="1:11" ht="13.8" thickBot="1" x14ac:dyDescent="0.3"/>
    <row r="176" spans="1:11" x14ac:dyDescent="0.25">
      <c r="A176" s="7" t="s">
        <v>98</v>
      </c>
      <c r="B176" s="8"/>
      <c r="C176" s="8"/>
      <c r="D176" s="8"/>
      <c r="E176" s="9"/>
      <c r="G176" s="7" t="s">
        <v>103</v>
      </c>
      <c r="H176" s="8"/>
      <c r="I176" s="8"/>
      <c r="J176" s="8"/>
      <c r="K176" s="9"/>
    </row>
    <row r="177" spans="1:11" x14ac:dyDescent="0.25">
      <c r="A177" s="10" t="s">
        <v>59</v>
      </c>
      <c r="B177" s="1" t="s">
        <v>60</v>
      </c>
      <c r="C177" s="1" t="s">
        <v>61</v>
      </c>
      <c r="D177" s="1" t="s">
        <v>10</v>
      </c>
      <c r="E177" s="11" t="s">
        <v>62</v>
      </c>
      <c r="G177" s="10" t="s">
        <v>59</v>
      </c>
      <c r="H177" s="1" t="s">
        <v>60</v>
      </c>
      <c r="I177" s="1" t="s">
        <v>61</v>
      </c>
      <c r="J177" s="1" t="s">
        <v>10</v>
      </c>
      <c r="K177" s="11" t="s">
        <v>62</v>
      </c>
    </row>
    <row r="178" spans="1:11" x14ac:dyDescent="0.25">
      <c r="A178" s="14" t="s">
        <v>79</v>
      </c>
      <c r="B178" s="2" t="s">
        <v>69</v>
      </c>
      <c r="C178" s="3">
        <v>1</v>
      </c>
      <c r="D178" s="4">
        <f>Salarios!$M$11</f>
        <v>0</v>
      </c>
      <c r="E178" s="13">
        <f>C178*D178</f>
        <v>0</v>
      </c>
      <c r="G178" s="12" t="s">
        <v>82</v>
      </c>
      <c r="H178" s="2" t="s">
        <v>69</v>
      </c>
      <c r="I178" s="3">
        <v>1</v>
      </c>
      <c r="J178" s="4">
        <f>Salarios!$M$10</f>
        <v>0</v>
      </c>
      <c r="K178" s="13">
        <f>I178*J178</f>
        <v>0</v>
      </c>
    </row>
    <row r="179" spans="1:11" x14ac:dyDescent="0.25">
      <c r="A179" s="14" t="s">
        <v>19</v>
      </c>
      <c r="B179" s="2" t="s">
        <v>69</v>
      </c>
      <c r="C179" s="3">
        <v>1</v>
      </c>
      <c r="D179" s="4">
        <f>Salarios!$M$23</f>
        <v>0</v>
      </c>
      <c r="E179" s="13">
        <f>C179*D179</f>
        <v>0</v>
      </c>
      <c r="G179" s="12" t="s">
        <v>22</v>
      </c>
      <c r="H179" s="2" t="s">
        <v>69</v>
      </c>
      <c r="I179" s="3">
        <v>1</v>
      </c>
      <c r="J179" s="4">
        <f>Salarios!$M$24</f>
        <v>0</v>
      </c>
      <c r="K179" s="13">
        <f>I179*J179</f>
        <v>0</v>
      </c>
    </row>
    <row r="180" spans="1:11" x14ac:dyDescent="0.25">
      <c r="A180" s="14"/>
      <c r="B180" s="2"/>
      <c r="C180" s="3"/>
      <c r="D180" s="4"/>
      <c r="E180" s="13">
        <f>C180*D180</f>
        <v>0</v>
      </c>
      <c r="G180" s="14"/>
      <c r="H180" s="2"/>
      <c r="I180" s="3"/>
      <c r="J180" s="4"/>
      <c r="K180" s="13">
        <f>I180*J180</f>
        <v>0</v>
      </c>
    </row>
    <row r="181" spans="1:11" x14ac:dyDescent="0.25">
      <c r="A181" s="14"/>
      <c r="B181" s="2"/>
      <c r="C181" s="3"/>
      <c r="D181" s="4"/>
      <c r="E181" s="13">
        <f>C181*D181</f>
        <v>0</v>
      </c>
      <c r="G181" s="14"/>
      <c r="H181" s="2"/>
      <c r="I181" s="3"/>
      <c r="J181" s="4"/>
      <c r="K181" s="13">
        <f>I181*J181</f>
        <v>0</v>
      </c>
    </row>
    <row r="182" spans="1:11" x14ac:dyDescent="0.25">
      <c r="A182" s="212" t="s">
        <v>63</v>
      </c>
      <c r="B182" s="213"/>
      <c r="C182" s="213"/>
      <c r="D182" s="213"/>
      <c r="E182" s="13"/>
      <c r="G182" s="212" t="s">
        <v>63</v>
      </c>
      <c r="H182" s="213"/>
      <c r="I182" s="213"/>
      <c r="J182" s="213"/>
      <c r="K182" s="13"/>
    </row>
    <row r="183" spans="1:11" x14ac:dyDescent="0.25">
      <c r="A183" s="14" t="s">
        <v>70</v>
      </c>
      <c r="B183" s="2" t="s">
        <v>69</v>
      </c>
      <c r="C183" s="5">
        <f>(C178+C179+C180+C181)/20</f>
        <v>0.1</v>
      </c>
      <c r="D183" s="4">
        <f>Salarios!$M$16</f>
        <v>0</v>
      </c>
      <c r="E183" s="13">
        <f>C183*D183</f>
        <v>0</v>
      </c>
      <c r="G183" s="14"/>
      <c r="H183" s="2"/>
      <c r="I183" s="5"/>
      <c r="J183" s="4"/>
      <c r="K183" s="13">
        <f>I183*J183</f>
        <v>0</v>
      </c>
    </row>
    <row r="184" spans="1:11" x14ac:dyDescent="0.25">
      <c r="A184" s="14" t="s">
        <v>58</v>
      </c>
      <c r="B184" s="2" t="s">
        <v>69</v>
      </c>
      <c r="C184" s="5">
        <f>(C178+C179+C180+C181)/60</f>
        <v>3.3333333333333333E-2</v>
      </c>
      <c r="D184" s="4">
        <f>Salarios!$M$26</f>
        <v>0</v>
      </c>
      <c r="E184" s="13">
        <f>C184*D184</f>
        <v>0</v>
      </c>
      <c r="G184" s="14" t="s">
        <v>58</v>
      </c>
      <c r="H184" s="2" t="s">
        <v>69</v>
      </c>
      <c r="I184" s="5">
        <f>(I178+I179+I180+I181)/60</f>
        <v>3.3333333333333333E-2</v>
      </c>
      <c r="J184" s="4">
        <f>Salarios!$M$26</f>
        <v>0</v>
      </c>
      <c r="K184" s="13">
        <f>I184*J184</f>
        <v>0</v>
      </c>
    </row>
    <row r="185" spans="1:11" x14ac:dyDescent="0.25">
      <c r="A185" s="205" t="s">
        <v>65</v>
      </c>
      <c r="B185" s="206"/>
      <c r="C185" s="206"/>
      <c r="D185" s="206"/>
      <c r="E185" s="13">
        <f>SUM(E178:E184)</f>
        <v>0</v>
      </c>
      <c r="G185" s="205" t="s">
        <v>65</v>
      </c>
      <c r="H185" s="206"/>
      <c r="I185" s="206"/>
      <c r="J185" s="206"/>
      <c r="K185" s="13">
        <f>SUM(K178:K184)</f>
        <v>0</v>
      </c>
    </row>
    <row r="186" spans="1:11" x14ac:dyDescent="0.25">
      <c r="A186" s="14" t="s">
        <v>66</v>
      </c>
      <c r="B186" s="2" t="s">
        <v>71</v>
      </c>
      <c r="C186" s="6">
        <v>0.04</v>
      </c>
      <c r="D186" s="4">
        <f>E185</f>
        <v>0</v>
      </c>
      <c r="E186" s="13">
        <f>C186*D186</f>
        <v>0</v>
      </c>
      <c r="G186" s="14" t="s">
        <v>66</v>
      </c>
      <c r="H186" s="2" t="s">
        <v>71</v>
      </c>
      <c r="I186" s="6">
        <v>0.04</v>
      </c>
      <c r="J186" s="4">
        <f>K185</f>
        <v>0</v>
      </c>
      <c r="K186" s="13">
        <f>I186*J186</f>
        <v>0</v>
      </c>
    </row>
    <row r="187" spans="1:11" ht="13.8" thickBot="1" x14ac:dyDescent="0.3">
      <c r="A187" s="207" t="s">
        <v>64</v>
      </c>
      <c r="B187" s="208"/>
      <c r="C187" s="208"/>
      <c r="D187" s="208"/>
      <c r="E187" s="15">
        <f>SUM(E185:E186)</f>
        <v>0</v>
      </c>
      <c r="G187" s="207" t="s">
        <v>64</v>
      </c>
      <c r="H187" s="208"/>
      <c r="I187" s="208"/>
      <c r="J187" s="208"/>
      <c r="K187" s="15">
        <f>SUM(K185:K186)</f>
        <v>0</v>
      </c>
    </row>
    <row r="189" spans="1:11" ht="13.8" thickBot="1" x14ac:dyDescent="0.3"/>
    <row r="190" spans="1:11" x14ac:dyDescent="0.25">
      <c r="A190" s="7" t="s">
        <v>99</v>
      </c>
      <c r="B190" s="8"/>
      <c r="C190" s="8"/>
      <c r="D190" s="8"/>
      <c r="E190" s="9"/>
      <c r="G190" s="7" t="s">
        <v>104</v>
      </c>
      <c r="H190" s="8"/>
      <c r="I190" s="8"/>
      <c r="J190" s="8"/>
      <c r="K190" s="9"/>
    </row>
    <row r="191" spans="1:11" x14ac:dyDescent="0.25">
      <c r="A191" s="10" t="s">
        <v>59</v>
      </c>
      <c r="B191" s="1" t="s">
        <v>60</v>
      </c>
      <c r="C191" s="1" t="s">
        <v>61</v>
      </c>
      <c r="D191" s="1" t="s">
        <v>10</v>
      </c>
      <c r="E191" s="11" t="s">
        <v>62</v>
      </c>
      <c r="G191" s="10" t="s">
        <v>59</v>
      </c>
      <c r="H191" s="1" t="s">
        <v>60</v>
      </c>
      <c r="I191" s="1" t="s">
        <v>61</v>
      </c>
      <c r="J191" s="1" t="s">
        <v>10</v>
      </c>
      <c r="K191" s="11" t="s">
        <v>62</v>
      </c>
    </row>
    <row r="192" spans="1:11" x14ac:dyDescent="0.25">
      <c r="A192" s="14" t="s">
        <v>79</v>
      </c>
      <c r="B192" s="2" t="s">
        <v>69</v>
      </c>
      <c r="C192" s="3">
        <v>2</v>
      </c>
      <c r="D192" s="4">
        <f>Salarios!$M$11</f>
        <v>0</v>
      </c>
      <c r="E192" s="13">
        <f>C192*D192</f>
        <v>0</v>
      </c>
      <c r="G192" s="12" t="s">
        <v>79</v>
      </c>
      <c r="H192" s="2" t="s">
        <v>69</v>
      </c>
      <c r="I192" s="3">
        <v>1</v>
      </c>
      <c r="J192" s="4">
        <f>Salarios!$M$11</f>
        <v>0</v>
      </c>
      <c r="K192" s="13">
        <f>I192*J192</f>
        <v>0</v>
      </c>
    </row>
    <row r="193" spans="1:11" x14ac:dyDescent="0.25">
      <c r="A193" s="14" t="s">
        <v>19</v>
      </c>
      <c r="B193" s="2" t="s">
        <v>69</v>
      </c>
      <c r="C193" s="3">
        <v>1</v>
      </c>
      <c r="D193" s="4">
        <f>Salarios!$M$23</f>
        <v>0</v>
      </c>
      <c r="E193" s="13">
        <f>C193*D193</f>
        <v>0</v>
      </c>
      <c r="G193" s="14" t="s">
        <v>23</v>
      </c>
      <c r="H193" s="2" t="s">
        <v>69</v>
      </c>
      <c r="I193" s="3">
        <v>1</v>
      </c>
      <c r="J193" s="4">
        <f>Salarios!$M$46</f>
        <v>0</v>
      </c>
      <c r="K193" s="13">
        <f>I193*J193</f>
        <v>0</v>
      </c>
    </row>
    <row r="194" spans="1:11" x14ac:dyDescent="0.25">
      <c r="A194" s="14"/>
      <c r="B194" s="2"/>
      <c r="C194" s="3"/>
      <c r="D194" s="4"/>
      <c r="E194" s="13">
        <f>C194*D194</f>
        <v>0</v>
      </c>
      <c r="G194" s="14"/>
      <c r="H194" s="2"/>
      <c r="I194" s="3"/>
      <c r="J194" s="4"/>
      <c r="K194" s="13">
        <f>I194*J194</f>
        <v>0</v>
      </c>
    </row>
    <row r="195" spans="1:11" x14ac:dyDescent="0.25">
      <c r="A195" s="14"/>
      <c r="B195" s="2"/>
      <c r="C195" s="3"/>
      <c r="D195" s="4"/>
      <c r="E195" s="13">
        <f>C195*D195</f>
        <v>0</v>
      </c>
      <c r="G195" s="14"/>
      <c r="H195" s="2"/>
      <c r="I195" s="3"/>
      <c r="J195" s="4"/>
      <c r="K195" s="13">
        <f>I195*J195</f>
        <v>0</v>
      </c>
    </row>
    <row r="196" spans="1:11" x14ac:dyDescent="0.25">
      <c r="A196" s="212" t="s">
        <v>63</v>
      </c>
      <c r="B196" s="213"/>
      <c r="C196" s="213"/>
      <c r="D196" s="213"/>
      <c r="E196" s="13"/>
      <c r="G196" s="212" t="s">
        <v>63</v>
      </c>
      <c r="H196" s="213"/>
      <c r="I196" s="213"/>
      <c r="J196" s="213"/>
      <c r="K196" s="13"/>
    </row>
    <row r="197" spans="1:11" x14ac:dyDescent="0.25">
      <c r="A197" s="14" t="s">
        <v>70</v>
      </c>
      <c r="B197" s="2" t="s">
        <v>69</v>
      </c>
      <c r="C197" s="5">
        <f>(C192+C193+C194+C195)/20</f>
        <v>0.15</v>
      </c>
      <c r="D197" s="4">
        <f>Salarios!$M$16</f>
        <v>0</v>
      </c>
      <c r="E197" s="13">
        <f>C197*D197</f>
        <v>0</v>
      </c>
      <c r="G197" s="14"/>
      <c r="H197" s="2"/>
      <c r="I197" s="5"/>
      <c r="J197" s="4"/>
      <c r="K197" s="13">
        <f>I197*J197</f>
        <v>0</v>
      </c>
    </row>
    <row r="198" spans="1:11" x14ac:dyDescent="0.25">
      <c r="A198" s="14" t="s">
        <v>58</v>
      </c>
      <c r="B198" s="2" t="s">
        <v>69</v>
      </c>
      <c r="C198" s="5">
        <f>(C192+C193+C194+C195)/60</f>
        <v>0.05</v>
      </c>
      <c r="D198" s="4">
        <f>Salarios!$M$26</f>
        <v>0</v>
      </c>
      <c r="E198" s="13">
        <f>C198*D198</f>
        <v>0</v>
      </c>
      <c r="G198" s="14" t="s">
        <v>58</v>
      </c>
      <c r="H198" s="2" t="s">
        <v>69</v>
      </c>
      <c r="I198" s="5">
        <f>(I192+I193+I194+I195)/60</f>
        <v>3.3333333333333333E-2</v>
      </c>
      <c r="J198" s="4">
        <f>Salarios!$M$26</f>
        <v>0</v>
      </c>
      <c r="K198" s="13">
        <f>I198*J198</f>
        <v>0</v>
      </c>
    </row>
    <row r="199" spans="1:11" x14ac:dyDescent="0.25">
      <c r="A199" s="205" t="s">
        <v>65</v>
      </c>
      <c r="B199" s="206"/>
      <c r="C199" s="206"/>
      <c r="D199" s="206"/>
      <c r="E199" s="13">
        <f>SUM(E192:E198)</f>
        <v>0</v>
      </c>
      <c r="G199" s="205" t="s">
        <v>65</v>
      </c>
      <c r="H199" s="206"/>
      <c r="I199" s="206"/>
      <c r="J199" s="206"/>
      <c r="K199" s="13">
        <f>SUM(K192:K198)</f>
        <v>0</v>
      </c>
    </row>
    <row r="200" spans="1:11" x14ac:dyDescent="0.25">
      <c r="A200" s="14" t="s">
        <v>66</v>
      </c>
      <c r="B200" s="2" t="s">
        <v>71</v>
      </c>
      <c r="C200" s="6">
        <v>0.04</v>
      </c>
      <c r="D200" s="4">
        <f>E199</f>
        <v>0</v>
      </c>
      <c r="E200" s="13">
        <f>C200*D200</f>
        <v>0</v>
      </c>
      <c r="G200" s="14" t="s">
        <v>66</v>
      </c>
      <c r="H200" s="2" t="s">
        <v>71</v>
      </c>
      <c r="I200" s="6">
        <v>0.04</v>
      </c>
      <c r="J200" s="4">
        <f>K199</f>
        <v>0</v>
      </c>
      <c r="K200" s="13">
        <f>I200*J200</f>
        <v>0</v>
      </c>
    </row>
    <row r="201" spans="1:11" ht="13.8" thickBot="1" x14ac:dyDescent="0.3">
      <c r="A201" s="207" t="s">
        <v>64</v>
      </c>
      <c r="B201" s="208"/>
      <c r="C201" s="208"/>
      <c r="D201" s="208"/>
      <c r="E201" s="15">
        <f>SUM(E199:E200)</f>
        <v>0</v>
      </c>
      <c r="G201" s="207" t="s">
        <v>64</v>
      </c>
      <c r="H201" s="208"/>
      <c r="I201" s="208"/>
      <c r="J201" s="208"/>
      <c r="K201" s="15">
        <f>SUM(K199:K200)</f>
        <v>0</v>
      </c>
    </row>
    <row r="203" spans="1:11" ht="13.8" thickBot="1" x14ac:dyDescent="0.3"/>
    <row r="204" spans="1:11" x14ac:dyDescent="0.25">
      <c r="A204" s="7" t="s">
        <v>100</v>
      </c>
      <c r="B204" s="8"/>
      <c r="C204" s="8"/>
      <c r="D204" s="8"/>
      <c r="E204" s="9"/>
      <c r="G204" s="7" t="s">
        <v>105</v>
      </c>
      <c r="H204" s="8"/>
      <c r="I204" s="8"/>
      <c r="J204" s="8"/>
      <c r="K204" s="9"/>
    </row>
    <row r="205" spans="1:11" x14ac:dyDescent="0.25">
      <c r="A205" s="10" t="s">
        <v>59</v>
      </c>
      <c r="B205" s="1" t="s">
        <v>60</v>
      </c>
      <c r="C205" s="1" t="s">
        <v>61</v>
      </c>
      <c r="D205" s="1" t="s">
        <v>10</v>
      </c>
      <c r="E205" s="11" t="s">
        <v>62</v>
      </c>
      <c r="G205" s="10" t="s">
        <v>59</v>
      </c>
      <c r="H205" s="1" t="s">
        <v>60</v>
      </c>
      <c r="I205" s="1" t="s">
        <v>61</v>
      </c>
      <c r="J205" s="1" t="s">
        <v>10</v>
      </c>
      <c r="K205" s="11" t="s">
        <v>62</v>
      </c>
    </row>
    <row r="206" spans="1:11" x14ac:dyDescent="0.25">
      <c r="A206" s="12" t="s">
        <v>79</v>
      </c>
      <c r="B206" s="2" t="s">
        <v>69</v>
      </c>
      <c r="C206" s="3">
        <v>1</v>
      </c>
      <c r="D206" s="4">
        <f>Salarios!$M$11</f>
        <v>0</v>
      </c>
      <c r="E206" s="13">
        <f>C206*D206</f>
        <v>0</v>
      </c>
      <c r="G206" s="12" t="s">
        <v>82</v>
      </c>
      <c r="H206" s="2" t="s">
        <v>69</v>
      </c>
      <c r="I206" s="3">
        <v>1</v>
      </c>
      <c r="J206" s="4">
        <f>Salarios!$M$10</f>
        <v>0</v>
      </c>
      <c r="K206" s="13">
        <f>I206*J206</f>
        <v>0</v>
      </c>
    </row>
    <row r="207" spans="1:11" x14ac:dyDescent="0.25">
      <c r="A207" s="14" t="s">
        <v>20</v>
      </c>
      <c r="B207" s="2" t="s">
        <v>69</v>
      </c>
      <c r="C207" s="3">
        <v>1</v>
      </c>
      <c r="D207" s="4">
        <f>Salarios!$M$54</f>
        <v>0</v>
      </c>
      <c r="E207" s="13">
        <f>C207*D207</f>
        <v>0</v>
      </c>
      <c r="G207" s="14" t="s">
        <v>106</v>
      </c>
      <c r="H207" s="2" t="s">
        <v>69</v>
      </c>
      <c r="I207" s="3">
        <v>1</v>
      </c>
      <c r="J207" s="4">
        <f>Salarios!$M$47</f>
        <v>0</v>
      </c>
      <c r="K207" s="13">
        <f>I207*J207</f>
        <v>0</v>
      </c>
    </row>
    <row r="208" spans="1:11" x14ac:dyDescent="0.25">
      <c r="A208" s="14"/>
      <c r="B208" s="2"/>
      <c r="C208" s="3"/>
      <c r="D208" s="4"/>
      <c r="E208" s="13">
        <f>C208*D208</f>
        <v>0</v>
      </c>
      <c r="G208" s="14"/>
      <c r="H208" s="2"/>
      <c r="I208" s="3"/>
      <c r="J208" s="4"/>
      <c r="K208" s="13">
        <f>I208*J208</f>
        <v>0</v>
      </c>
    </row>
    <row r="209" spans="1:11" x14ac:dyDescent="0.25">
      <c r="A209" s="14"/>
      <c r="B209" s="2"/>
      <c r="C209" s="3"/>
      <c r="D209" s="4"/>
      <c r="E209" s="13">
        <f>C209*D209</f>
        <v>0</v>
      </c>
      <c r="G209" s="14"/>
      <c r="H209" s="2"/>
      <c r="I209" s="3"/>
      <c r="J209" s="4"/>
      <c r="K209" s="13">
        <f>I209*J209</f>
        <v>0</v>
      </c>
    </row>
    <row r="210" spans="1:11" x14ac:dyDescent="0.25">
      <c r="A210" s="212" t="s">
        <v>63</v>
      </c>
      <c r="B210" s="213"/>
      <c r="C210" s="213"/>
      <c r="D210" s="213"/>
      <c r="E210" s="13"/>
      <c r="G210" s="212" t="s">
        <v>63</v>
      </c>
      <c r="H210" s="213"/>
      <c r="I210" s="213"/>
      <c r="J210" s="213"/>
      <c r="K210" s="13"/>
    </row>
    <row r="211" spans="1:11" x14ac:dyDescent="0.25">
      <c r="A211" s="14" t="s">
        <v>70</v>
      </c>
      <c r="B211" s="2" t="s">
        <v>69</v>
      </c>
      <c r="C211" s="5">
        <f>(C206+C207+C208+C209)/20</f>
        <v>0.1</v>
      </c>
      <c r="D211" s="4">
        <f>Salarios!$M$16</f>
        <v>0</v>
      </c>
      <c r="E211" s="13">
        <f>C211*D211</f>
        <v>0</v>
      </c>
      <c r="G211" s="14" t="s">
        <v>70</v>
      </c>
      <c r="H211" s="2" t="s">
        <v>69</v>
      </c>
      <c r="I211" s="5">
        <f>(I206+I207+I208+I209)/20</f>
        <v>0.1</v>
      </c>
      <c r="J211" s="4">
        <f>Salarios!$M$16</f>
        <v>0</v>
      </c>
      <c r="K211" s="13">
        <f>I211*J211</f>
        <v>0</v>
      </c>
    </row>
    <row r="212" spans="1:11" x14ac:dyDescent="0.25">
      <c r="A212" s="14" t="s">
        <v>58</v>
      </c>
      <c r="B212" s="2" t="s">
        <v>69</v>
      </c>
      <c r="C212" s="5">
        <f>(C206+C207+C208+C209)/60</f>
        <v>3.3333333333333333E-2</v>
      </c>
      <c r="D212" s="4">
        <f>Salarios!$M$26</f>
        <v>0</v>
      </c>
      <c r="E212" s="13">
        <f>C212*D212</f>
        <v>0</v>
      </c>
      <c r="G212" s="14" t="s">
        <v>58</v>
      </c>
      <c r="H212" s="2" t="s">
        <v>69</v>
      </c>
      <c r="I212" s="5">
        <f>(I206+I207+I208+I209)/40</f>
        <v>0.05</v>
      </c>
      <c r="J212" s="4">
        <f>Salarios!$M$26</f>
        <v>0</v>
      </c>
      <c r="K212" s="13">
        <f>I212*J212</f>
        <v>0</v>
      </c>
    </row>
    <row r="213" spans="1:11" x14ac:dyDescent="0.25">
      <c r="A213" s="205" t="s">
        <v>65</v>
      </c>
      <c r="B213" s="206"/>
      <c r="C213" s="206"/>
      <c r="D213" s="206"/>
      <c r="E213" s="13">
        <f>SUM(E206:E212)</f>
        <v>0</v>
      </c>
      <c r="G213" s="205" t="s">
        <v>65</v>
      </c>
      <c r="H213" s="206"/>
      <c r="I213" s="206"/>
      <c r="J213" s="206"/>
      <c r="K213" s="13">
        <f>SUM(K206:K212)</f>
        <v>0</v>
      </c>
    </row>
    <row r="214" spans="1:11" x14ac:dyDescent="0.25">
      <c r="A214" s="14" t="s">
        <v>66</v>
      </c>
      <c r="B214" s="2" t="s">
        <v>71</v>
      </c>
      <c r="C214" s="6">
        <v>0.04</v>
      </c>
      <c r="D214" s="4">
        <f>E213</f>
        <v>0</v>
      </c>
      <c r="E214" s="13">
        <f>C214*D214</f>
        <v>0</v>
      </c>
      <c r="G214" s="14" t="s">
        <v>66</v>
      </c>
      <c r="H214" s="2" t="s">
        <v>71</v>
      </c>
      <c r="I214" s="6">
        <v>0.04</v>
      </c>
      <c r="J214" s="4">
        <f>K213</f>
        <v>0</v>
      </c>
      <c r="K214" s="13">
        <f>I214*J214</f>
        <v>0</v>
      </c>
    </row>
    <row r="215" spans="1:11" ht="13.8" thickBot="1" x14ac:dyDescent="0.3">
      <c r="A215" s="207" t="s">
        <v>64</v>
      </c>
      <c r="B215" s="208"/>
      <c r="C215" s="208"/>
      <c r="D215" s="208"/>
      <c r="E215" s="15">
        <f>SUM(E213:E214)</f>
        <v>0</v>
      </c>
      <c r="G215" s="207" t="s">
        <v>64</v>
      </c>
      <c r="H215" s="208"/>
      <c r="I215" s="208"/>
      <c r="J215" s="208"/>
      <c r="K215" s="15">
        <f>SUM(K213:K214)</f>
        <v>0</v>
      </c>
    </row>
    <row r="217" spans="1:11" ht="13.8" thickBot="1" x14ac:dyDescent="0.3"/>
    <row r="218" spans="1:11" x14ac:dyDescent="0.25">
      <c r="A218" s="7" t="s">
        <v>107</v>
      </c>
      <c r="B218" s="8"/>
      <c r="C218" s="8"/>
      <c r="D218" s="8"/>
      <c r="E218" s="9"/>
      <c r="G218" s="7" t="s">
        <v>113</v>
      </c>
      <c r="H218" s="8"/>
      <c r="I218" s="8"/>
      <c r="J218" s="8"/>
      <c r="K218" s="9"/>
    </row>
    <row r="219" spans="1:11" x14ac:dyDescent="0.25">
      <c r="A219" s="10" t="s">
        <v>59</v>
      </c>
      <c r="B219" s="1" t="s">
        <v>60</v>
      </c>
      <c r="C219" s="1" t="s">
        <v>61</v>
      </c>
      <c r="D219" s="1" t="s">
        <v>10</v>
      </c>
      <c r="E219" s="11" t="s">
        <v>62</v>
      </c>
      <c r="G219" s="10" t="s">
        <v>59</v>
      </c>
      <c r="H219" s="1" t="s">
        <v>60</v>
      </c>
      <c r="I219" s="1" t="s">
        <v>61</v>
      </c>
      <c r="J219" s="1" t="s">
        <v>10</v>
      </c>
      <c r="K219" s="11" t="s">
        <v>62</v>
      </c>
    </row>
    <row r="220" spans="1:11" x14ac:dyDescent="0.25">
      <c r="A220" s="12" t="s">
        <v>25</v>
      </c>
      <c r="B220" s="2" t="s">
        <v>69</v>
      </c>
      <c r="C220" s="3">
        <v>1</v>
      </c>
      <c r="D220" s="4">
        <f>Salarios!$M$8</f>
        <v>0</v>
      </c>
      <c r="E220" s="13">
        <f>C220*D220</f>
        <v>0</v>
      </c>
      <c r="G220" s="12" t="s">
        <v>82</v>
      </c>
      <c r="H220" s="2" t="s">
        <v>69</v>
      </c>
      <c r="I220" s="3">
        <v>2</v>
      </c>
      <c r="J220" s="4">
        <f>Salarios!$M$10</f>
        <v>0</v>
      </c>
      <c r="K220" s="13">
        <f>I220*J220</f>
        <v>0</v>
      </c>
    </row>
    <row r="221" spans="1:11" x14ac:dyDescent="0.25">
      <c r="A221" s="14"/>
      <c r="B221" s="2"/>
      <c r="C221" s="3"/>
      <c r="D221" s="4"/>
      <c r="E221" s="13">
        <f>C221*D221</f>
        <v>0</v>
      </c>
      <c r="G221" s="14" t="s">
        <v>27</v>
      </c>
      <c r="H221" s="2" t="s">
        <v>69</v>
      </c>
      <c r="I221" s="3">
        <v>1</v>
      </c>
      <c r="J221" s="4">
        <f>Salarios!$M$41</f>
        <v>0</v>
      </c>
      <c r="K221" s="13">
        <f>I221*J221</f>
        <v>0</v>
      </c>
    </row>
    <row r="222" spans="1:11" x14ac:dyDescent="0.25">
      <c r="A222" s="14"/>
      <c r="B222" s="2"/>
      <c r="C222" s="3"/>
      <c r="D222" s="4"/>
      <c r="E222" s="13">
        <f>C222*D222</f>
        <v>0</v>
      </c>
      <c r="G222" s="14"/>
      <c r="H222" s="2"/>
      <c r="I222" s="3"/>
      <c r="J222" s="4"/>
      <c r="K222" s="13">
        <f>I222*J222</f>
        <v>0</v>
      </c>
    </row>
    <row r="223" spans="1:11" x14ac:dyDescent="0.25">
      <c r="A223" s="14"/>
      <c r="B223" s="2"/>
      <c r="C223" s="3"/>
      <c r="D223" s="4"/>
      <c r="E223" s="13">
        <f>C223*D223</f>
        <v>0</v>
      </c>
      <c r="G223" s="14"/>
      <c r="H223" s="2"/>
      <c r="I223" s="3"/>
      <c r="J223" s="4"/>
      <c r="K223" s="13">
        <f>I223*J223</f>
        <v>0</v>
      </c>
    </row>
    <row r="224" spans="1:11" x14ac:dyDescent="0.25">
      <c r="A224" s="212" t="s">
        <v>63</v>
      </c>
      <c r="B224" s="213"/>
      <c r="C224" s="213"/>
      <c r="D224" s="213"/>
      <c r="E224" s="13"/>
      <c r="G224" s="212" t="s">
        <v>63</v>
      </c>
      <c r="H224" s="213"/>
      <c r="I224" s="213"/>
      <c r="J224" s="213"/>
      <c r="K224" s="13"/>
    </row>
    <row r="225" spans="1:11" x14ac:dyDescent="0.25">
      <c r="A225" s="14"/>
      <c r="B225" s="2"/>
      <c r="C225" s="5"/>
      <c r="D225" s="4"/>
      <c r="E225" s="13">
        <f>C225*D225</f>
        <v>0</v>
      </c>
      <c r="G225" s="14" t="s">
        <v>112</v>
      </c>
      <c r="H225" s="2" t="s">
        <v>69</v>
      </c>
      <c r="I225" s="5">
        <f>(I220+I221+I222+I223)/20</f>
        <v>0.15</v>
      </c>
      <c r="J225" s="4">
        <f>Salarios!$M$15</f>
        <v>0</v>
      </c>
      <c r="K225" s="13">
        <f>I225*J225</f>
        <v>0</v>
      </c>
    </row>
    <row r="226" spans="1:11" x14ac:dyDescent="0.25">
      <c r="A226" s="14" t="s">
        <v>58</v>
      </c>
      <c r="B226" s="2" t="s">
        <v>69</v>
      </c>
      <c r="C226" s="5">
        <f>(C220+C221+C222+C223)/20</f>
        <v>0.05</v>
      </c>
      <c r="D226" s="4">
        <f>Salarios!$M$26</f>
        <v>0</v>
      </c>
      <c r="E226" s="13">
        <f>C226*D226</f>
        <v>0</v>
      </c>
      <c r="G226" s="14" t="s">
        <v>58</v>
      </c>
      <c r="H226" s="2" t="s">
        <v>69</v>
      </c>
      <c r="I226" s="5">
        <f>(I220+I221+I222+I223)/40</f>
        <v>7.4999999999999997E-2</v>
      </c>
      <c r="J226" s="4">
        <f>Salarios!$M$26</f>
        <v>0</v>
      </c>
      <c r="K226" s="13">
        <f>I226*J226</f>
        <v>0</v>
      </c>
    </row>
    <row r="227" spans="1:11" x14ac:dyDescent="0.25">
      <c r="A227" s="205" t="s">
        <v>65</v>
      </c>
      <c r="B227" s="206"/>
      <c r="C227" s="206"/>
      <c r="D227" s="206"/>
      <c r="E227" s="13">
        <f>SUM(E220:E226)</f>
        <v>0</v>
      </c>
      <c r="G227" s="205" t="s">
        <v>65</v>
      </c>
      <c r="H227" s="206"/>
      <c r="I227" s="206"/>
      <c r="J227" s="206"/>
      <c r="K227" s="13">
        <f>SUM(K220:K226)</f>
        <v>0</v>
      </c>
    </row>
    <row r="228" spans="1:11" x14ac:dyDescent="0.25">
      <c r="A228" s="14" t="s">
        <v>66</v>
      </c>
      <c r="B228" s="2" t="s">
        <v>71</v>
      </c>
      <c r="C228" s="6">
        <v>0.04</v>
      </c>
      <c r="D228" s="4">
        <f>E227</f>
        <v>0</v>
      </c>
      <c r="E228" s="13">
        <f>C228*D228</f>
        <v>0</v>
      </c>
      <c r="G228" s="14" t="s">
        <v>66</v>
      </c>
      <c r="H228" s="2" t="s">
        <v>71</v>
      </c>
      <c r="I228" s="6">
        <v>0.04</v>
      </c>
      <c r="J228" s="4">
        <f>K227</f>
        <v>0</v>
      </c>
      <c r="K228" s="13">
        <f>I228*J228</f>
        <v>0</v>
      </c>
    </row>
    <row r="229" spans="1:11" ht="13.8" thickBot="1" x14ac:dyDescent="0.3">
      <c r="A229" s="207" t="s">
        <v>64</v>
      </c>
      <c r="B229" s="208"/>
      <c r="C229" s="208"/>
      <c r="D229" s="208"/>
      <c r="E229" s="15">
        <f>SUM(E227:E228)</f>
        <v>0</v>
      </c>
      <c r="G229" s="207" t="s">
        <v>64</v>
      </c>
      <c r="H229" s="208"/>
      <c r="I229" s="208"/>
      <c r="J229" s="208"/>
      <c r="K229" s="15">
        <f>SUM(K227:K228)</f>
        <v>0</v>
      </c>
    </row>
    <row r="231" spans="1:11" ht="13.8" thickBot="1" x14ac:dyDescent="0.3"/>
    <row r="232" spans="1:11" x14ac:dyDescent="0.25">
      <c r="A232" s="7" t="s">
        <v>108</v>
      </c>
      <c r="B232" s="8"/>
      <c r="C232" s="8"/>
      <c r="D232" s="8"/>
      <c r="E232" s="9"/>
      <c r="G232" s="7" t="s">
        <v>114</v>
      </c>
      <c r="H232" s="8"/>
      <c r="I232" s="8"/>
      <c r="J232" s="8"/>
      <c r="K232" s="9"/>
    </row>
    <row r="233" spans="1:11" x14ac:dyDescent="0.25">
      <c r="A233" s="10" t="s">
        <v>59</v>
      </c>
      <c r="B233" s="1" t="s">
        <v>60</v>
      </c>
      <c r="C233" s="1" t="s">
        <v>61</v>
      </c>
      <c r="D233" s="1" t="s">
        <v>10</v>
      </c>
      <c r="E233" s="11" t="s">
        <v>62</v>
      </c>
      <c r="G233" s="10" t="s">
        <v>59</v>
      </c>
      <c r="H233" s="1" t="s">
        <v>60</v>
      </c>
      <c r="I233" s="1" t="s">
        <v>61</v>
      </c>
      <c r="J233" s="1" t="s">
        <v>10</v>
      </c>
      <c r="K233" s="11" t="s">
        <v>62</v>
      </c>
    </row>
    <row r="234" spans="1:11" x14ac:dyDescent="0.25">
      <c r="A234" s="12" t="s">
        <v>82</v>
      </c>
      <c r="B234" s="2" t="s">
        <v>69</v>
      </c>
      <c r="C234" s="3">
        <v>1</v>
      </c>
      <c r="D234" s="4">
        <f>Salarios!$M$10</f>
        <v>0</v>
      </c>
      <c r="E234" s="13">
        <f>C234*D234</f>
        <v>0</v>
      </c>
      <c r="G234" s="12" t="s">
        <v>82</v>
      </c>
      <c r="H234" s="2" t="s">
        <v>69</v>
      </c>
      <c r="I234" s="3">
        <v>1</v>
      </c>
      <c r="J234" s="4">
        <f>Salarios!$M$10</f>
        <v>0</v>
      </c>
      <c r="K234" s="13">
        <f>I234*J234</f>
        <v>0</v>
      </c>
    </row>
    <row r="235" spans="1:11" x14ac:dyDescent="0.25">
      <c r="A235" s="12" t="s">
        <v>25</v>
      </c>
      <c r="B235" s="2" t="s">
        <v>69</v>
      </c>
      <c r="C235" s="3">
        <v>1</v>
      </c>
      <c r="D235" s="4">
        <f>Salarios!$M$8</f>
        <v>0</v>
      </c>
      <c r="E235" s="13">
        <f>C235*D235</f>
        <v>0</v>
      </c>
      <c r="G235" s="12" t="s">
        <v>29</v>
      </c>
      <c r="H235" s="2" t="s">
        <v>69</v>
      </c>
      <c r="I235" s="3">
        <v>1</v>
      </c>
      <c r="J235" s="4">
        <f>Salarios!$M$22</f>
        <v>0</v>
      </c>
      <c r="K235" s="13">
        <f>I235*J235</f>
        <v>0</v>
      </c>
    </row>
    <row r="236" spans="1:11" x14ac:dyDescent="0.25">
      <c r="A236" s="14"/>
      <c r="B236" s="2"/>
      <c r="C236" s="3"/>
      <c r="D236" s="4"/>
      <c r="E236" s="13">
        <f>C236*D236</f>
        <v>0</v>
      </c>
      <c r="G236" s="14"/>
      <c r="H236" s="2"/>
      <c r="I236" s="3"/>
      <c r="J236" s="4"/>
      <c r="K236" s="13">
        <f>I236*J236</f>
        <v>0</v>
      </c>
    </row>
    <row r="237" spans="1:11" x14ac:dyDescent="0.25">
      <c r="A237" s="14"/>
      <c r="B237" s="2"/>
      <c r="C237" s="3"/>
      <c r="D237" s="4"/>
      <c r="E237" s="13">
        <f>C237*D237</f>
        <v>0</v>
      </c>
      <c r="G237" s="14"/>
      <c r="H237" s="2"/>
      <c r="I237" s="3"/>
      <c r="J237" s="4"/>
      <c r="K237" s="13">
        <f>I237*J237</f>
        <v>0</v>
      </c>
    </row>
    <row r="238" spans="1:11" x14ac:dyDescent="0.25">
      <c r="A238" s="212" t="s">
        <v>63</v>
      </c>
      <c r="B238" s="213"/>
      <c r="C238" s="213"/>
      <c r="D238" s="213"/>
      <c r="E238" s="13"/>
      <c r="G238" s="212" t="s">
        <v>63</v>
      </c>
      <c r="H238" s="213"/>
      <c r="I238" s="213"/>
      <c r="J238" s="213"/>
      <c r="K238" s="13"/>
    </row>
    <row r="239" spans="1:11" x14ac:dyDescent="0.25">
      <c r="A239" s="14"/>
      <c r="B239" s="2"/>
      <c r="C239" s="5"/>
      <c r="D239" s="4"/>
      <c r="E239" s="13">
        <f>C239*D239</f>
        <v>0</v>
      </c>
      <c r="G239" s="14" t="s">
        <v>112</v>
      </c>
      <c r="H239" s="2" t="s">
        <v>69</v>
      </c>
      <c r="I239" s="5">
        <f>(I234+I235+I236+I237)/20</f>
        <v>0.1</v>
      </c>
      <c r="J239" s="4">
        <f>Salarios!$M$15</f>
        <v>0</v>
      </c>
      <c r="K239" s="13">
        <f>I239*J239</f>
        <v>0</v>
      </c>
    </row>
    <row r="240" spans="1:11" x14ac:dyDescent="0.25">
      <c r="A240" s="14" t="s">
        <v>58</v>
      </c>
      <c r="B240" s="2" t="s">
        <v>69</v>
      </c>
      <c r="C240" s="5">
        <f>(C234+C235+C236+C237)/20</f>
        <v>0.1</v>
      </c>
      <c r="D240" s="4">
        <f>Salarios!$M$26</f>
        <v>0</v>
      </c>
      <c r="E240" s="13">
        <f>C240*D240</f>
        <v>0</v>
      </c>
      <c r="G240" s="14" t="s">
        <v>58</v>
      </c>
      <c r="H240" s="2" t="s">
        <v>69</v>
      </c>
      <c r="I240" s="5">
        <f>(I234+I235+I236+I237)/40</f>
        <v>0.05</v>
      </c>
      <c r="J240" s="4">
        <f>Salarios!$M$26</f>
        <v>0</v>
      </c>
      <c r="K240" s="13">
        <f>I240*J240</f>
        <v>0</v>
      </c>
    </row>
    <row r="241" spans="1:11" x14ac:dyDescent="0.25">
      <c r="A241" s="205" t="s">
        <v>65</v>
      </c>
      <c r="B241" s="206"/>
      <c r="C241" s="206"/>
      <c r="D241" s="206"/>
      <c r="E241" s="13">
        <f>SUM(E234:E240)</f>
        <v>0</v>
      </c>
      <c r="G241" s="205" t="s">
        <v>65</v>
      </c>
      <c r="H241" s="206"/>
      <c r="I241" s="206"/>
      <c r="J241" s="206"/>
      <c r="K241" s="13">
        <f>SUM(K234:K240)</f>
        <v>0</v>
      </c>
    </row>
    <row r="242" spans="1:11" x14ac:dyDescent="0.25">
      <c r="A242" s="14" t="s">
        <v>66</v>
      </c>
      <c r="B242" s="2" t="s">
        <v>71</v>
      </c>
      <c r="C242" s="6">
        <v>0.04</v>
      </c>
      <c r="D242" s="4">
        <f>E241</f>
        <v>0</v>
      </c>
      <c r="E242" s="13">
        <f>C242*D242</f>
        <v>0</v>
      </c>
      <c r="G242" s="14" t="s">
        <v>66</v>
      </c>
      <c r="H242" s="2" t="s">
        <v>71</v>
      </c>
      <c r="I242" s="6">
        <v>0.04</v>
      </c>
      <c r="J242" s="4">
        <f>K241</f>
        <v>0</v>
      </c>
      <c r="K242" s="13">
        <f>I242*J242</f>
        <v>0</v>
      </c>
    </row>
    <row r="243" spans="1:11" ht="13.8" thickBot="1" x14ac:dyDescent="0.3">
      <c r="A243" s="207" t="s">
        <v>64</v>
      </c>
      <c r="B243" s="208"/>
      <c r="C243" s="208"/>
      <c r="D243" s="208"/>
      <c r="E243" s="15">
        <f>SUM(E241:E242)</f>
        <v>0</v>
      </c>
      <c r="G243" s="207" t="s">
        <v>64</v>
      </c>
      <c r="H243" s="208"/>
      <c r="I243" s="208"/>
      <c r="J243" s="208"/>
      <c r="K243" s="15">
        <f>SUM(K241:K242)</f>
        <v>0</v>
      </c>
    </row>
    <row r="245" spans="1:11" ht="13.8" thickBot="1" x14ac:dyDescent="0.3"/>
    <row r="246" spans="1:11" x14ac:dyDescent="0.25">
      <c r="A246" s="7" t="s">
        <v>109</v>
      </c>
      <c r="B246" s="8"/>
      <c r="C246" s="8"/>
      <c r="D246" s="8"/>
      <c r="E246" s="9"/>
      <c r="G246" s="7" t="s">
        <v>115</v>
      </c>
      <c r="H246" s="8"/>
      <c r="I246" s="8"/>
      <c r="J246" s="8"/>
      <c r="K246" s="9"/>
    </row>
    <row r="247" spans="1:11" x14ac:dyDescent="0.25">
      <c r="A247" s="10" t="s">
        <v>59</v>
      </c>
      <c r="B247" s="1" t="s">
        <v>60</v>
      </c>
      <c r="C247" s="1" t="s">
        <v>61</v>
      </c>
      <c r="D247" s="1" t="s">
        <v>10</v>
      </c>
      <c r="E247" s="11" t="s">
        <v>62</v>
      </c>
      <c r="G247" s="10" t="s">
        <v>59</v>
      </c>
      <c r="H247" s="1" t="s">
        <v>60</v>
      </c>
      <c r="I247" s="1" t="s">
        <v>61</v>
      </c>
      <c r="J247" s="1" t="s">
        <v>10</v>
      </c>
      <c r="K247" s="11" t="s">
        <v>62</v>
      </c>
    </row>
    <row r="248" spans="1:11" x14ac:dyDescent="0.25">
      <c r="A248" s="14" t="s">
        <v>79</v>
      </c>
      <c r="B248" s="2" t="s">
        <v>69</v>
      </c>
      <c r="C248" s="3">
        <v>1</v>
      </c>
      <c r="D248" s="4">
        <f>Salarios!$M$11</f>
        <v>0</v>
      </c>
      <c r="E248" s="13">
        <f>C248*D248</f>
        <v>0</v>
      </c>
      <c r="G248" s="12" t="s">
        <v>82</v>
      </c>
      <c r="H248" s="2" t="s">
        <v>69</v>
      </c>
      <c r="I248" s="3">
        <v>2</v>
      </c>
      <c r="J248" s="4">
        <f>Salarios!$M$10</f>
        <v>0</v>
      </c>
      <c r="K248" s="13">
        <f>I248*J248</f>
        <v>0</v>
      </c>
    </row>
    <row r="249" spans="1:11" x14ac:dyDescent="0.25">
      <c r="A249" s="14" t="s">
        <v>26</v>
      </c>
      <c r="B249" s="2" t="s">
        <v>69</v>
      </c>
      <c r="C249" s="3">
        <v>1</v>
      </c>
      <c r="D249" s="4">
        <f>Salarios!$M$53</f>
        <v>0</v>
      </c>
      <c r="E249" s="13">
        <f>C249*D249</f>
        <v>0</v>
      </c>
      <c r="G249" s="12" t="s">
        <v>29</v>
      </c>
      <c r="H249" s="2" t="s">
        <v>69</v>
      </c>
      <c r="I249" s="3">
        <v>1</v>
      </c>
      <c r="J249" s="4">
        <f>Salarios!$M$22</f>
        <v>0</v>
      </c>
      <c r="K249" s="13">
        <f>I249*J249</f>
        <v>0</v>
      </c>
    </row>
    <row r="250" spans="1:11" x14ac:dyDescent="0.25">
      <c r="A250" s="14"/>
      <c r="B250" s="2"/>
      <c r="C250" s="3"/>
      <c r="D250" s="4"/>
      <c r="E250" s="13">
        <f>C250*D250</f>
        <v>0</v>
      </c>
      <c r="G250" s="14"/>
      <c r="H250" s="2"/>
      <c r="I250" s="3"/>
      <c r="J250" s="4"/>
      <c r="K250" s="13">
        <f>I250*J250</f>
        <v>0</v>
      </c>
    </row>
    <row r="251" spans="1:11" x14ac:dyDescent="0.25">
      <c r="A251" s="14"/>
      <c r="B251" s="2"/>
      <c r="C251" s="3"/>
      <c r="D251" s="4"/>
      <c r="E251" s="13">
        <f>C251*D251</f>
        <v>0</v>
      </c>
      <c r="G251" s="14"/>
      <c r="H251" s="2"/>
      <c r="I251" s="3"/>
      <c r="J251" s="4"/>
      <c r="K251" s="13">
        <f>I251*J251</f>
        <v>0</v>
      </c>
    </row>
    <row r="252" spans="1:11" x14ac:dyDescent="0.25">
      <c r="A252" s="212" t="s">
        <v>63</v>
      </c>
      <c r="B252" s="213"/>
      <c r="C252" s="213"/>
      <c r="D252" s="213"/>
      <c r="E252" s="13"/>
      <c r="G252" s="212" t="s">
        <v>63</v>
      </c>
      <c r="H252" s="213"/>
      <c r="I252" s="213"/>
      <c r="J252" s="213"/>
      <c r="K252" s="13"/>
    </row>
    <row r="253" spans="1:11" x14ac:dyDescent="0.25">
      <c r="A253" s="14"/>
      <c r="B253" s="2"/>
      <c r="C253" s="5"/>
      <c r="D253" s="4"/>
      <c r="E253" s="13">
        <f>C253*D253</f>
        <v>0</v>
      </c>
      <c r="G253" s="14" t="s">
        <v>112</v>
      </c>
      <c r="H253" s="2" t="s">
        <v>69</v>
      </c>
      <c r="I253" s="5">
        <f>(I248+I249+I250+I251)/20</f>
        <v>0.15</v>
      </c>
      <c r="J253" s="4">
        <f>Salarios!$M$15</f>
        <v>0</v>
      </c>
      <c r="K253" s="13">
        <f>I253*J253</f>
        <v>0</v>
      </c>
    </row>
    <row r="254" spans="1:11" x14ac:dyDescent="0.25">
      <c r="A254" s="14" t="s">
        <v>58</v>
      </c>
      <c r="B254" s="2" t="s">
        <v>69</v>
      </c>
      <c r="C254" s="5">
        <f>(C248+C249+C250+C251)/20</f>
        <v>0.1</v>
      </c>
      <c r="D254" s="4">
        <f>Salarios!$M$26</f>
        <v>0</v>
      </c>
      <c r="E254" s="13">
        <f>C254*D254</f>
        <v>0</v>
      </c>
      <c r="G254" s="14" t="s">
        <v>58</v>
      </c>
      <c r="H254" s="2" t="s">
        <v>69</v>
      </c>
      <c r="I254" s="5">
        <f>(I248+I249+I250+I251)/40</f>
        <v>7.4999999999999997E-2</v>
      </c>
      <c r="J254" s="4">
        <f>Salarios!$M$26</f>
        <v>0</v>
      </c>
      <c r="K254" s="13">
        <f>I254*J254</f>
        <v>0</v>
      </c>
    </row>
    <row r="255" spans="1:11" x14ac:dyDescent="0.25">
      <c r="A255" s="205" t="s">
        <v>65</v>
      </c>
      <c r="B255" s="206"/>
      <c r="C255" s="206"/>
      <c r="D255" s="206"/>
      <c r="E255" s="13">
        <f>SUM(E248:E254)</f>
        <v>0</v>
      </c>
      <c r="G255" s="205" t="s">
        <v>65</v>
      </c>
      <c r="H255" s="206"/>
      <c r="I255" s="206"/>
      <c r="J255" s="206"/>
      <c r="K255" s="13">
        <f>SUM(K248:K254)</f>
        <v>0</v>
      </c>
    </row>
    <row r="256" spans="1:11" x14ac:dyDescent="0.25">
      <c r="A256" s="14" t="s">
        <v>66</v>
      </c>
      <c r="B256" s="2" t="s">
        <v>71</v>
      </c>
      <c r="C256" s="6">
        <v>0.04</v>
      </c>
      <c r="D256" s="4">
        <f>E255</f>
        <v>0</v>
      </c>
      <c r="E256" s="13">
        <f>C256*D256</f>
        <v>0</v>
      </c>
      <c r="G256" s="14" t="s">
        <v>66</v>
      </c>
      <c r="H256" s="2" t="s">
        <v>71</v>
      </c>
      <c r="I256" s="6">
        <v>0.04</v>
      </c>
      <c r="J256" s="4">
        <f>K255</f>
        <v>0</v>
      </c>
      <c r="K256" s="13">
        <f>I256*J256</f>
        <v>0</v>
      </c>
    </row>
    <row r="257" spans="1:11" ht="13.8" thickBot="1" x14ac:dyDescent="0.3">
      <c r="A257" s="207" t="s">
        <v>64</v>
      </c>
      <c r="B257" s="208"/>
      <c r="C257" s="208"/>
      <c r="D257" s="208"/>
      <c r="E257" s="15">
        <f>SUM(E255:E256)</f>
        <v>0</v>
      </c>
      <c r="G257" s="207" t="s">
        <v>64</v>
      </c>
      <c r="H257" s="208"/>
      <c r="I257" s="208"/>
      <c r="J257" s="208"/>
      <c r="K257" s="15">
        <f>SUM(K255:K256)</f>
        <v>0</v>
      </c>
    </row>
    <row r="259" spans="1:11" ht="13.8" thickBot="1" x14ac:dyDescent="0.3"/>
    <row r="260" spans="1:11" x14ac:dyDescent="0.25">
      <c r="A260" s="7" t="s">
        <v>110</v>
      </c>
      <c r="B260" s="8"/>
      <c r="C260" s="8"/>
      <c r="D260" s="8"/>
      <c r="E260" s="9"/>
      <c r="G260" s="7" t="s">
        <v>116</v>
      </c>
      <c r="H260" s="8"/>
      <c r="I260" s="8"/>
      <c r="J260" s="8"/>
      <c r="K260" s="9"/>
    </row>
    <row r="261" spans="1:11" x14ac:dyDescent="0.25">
      <c r="A261" s="10" t="s">
        <v>59</v>
      </c>
      <c r="B261" s="1" t="s">
        <v>60</v>
      </c>
      <c r="C261" s="1" t="s">
        <v>61</v>
      </c>
      <c r="D261" s="1" t="s">
        <v>10</v>
      </c>
      <c r="E261" s="11" t="s">
        <v>62</v>
      </c>
      <c r="G261" s="10" t="s">
        <v>59</v>
      </c>
      <c r="H261" s="1" t="s">
        <v>60</v>
      </c>
      <c r="I261" s="1" t="s">
        <v>61</v>
      </c>
      <c r="J261" s="1" t="s">
        <v>10</v>
      </c>
      <c r="K261" s="11" t="s">
        <v>62</v>
      </c>
    </row>
    <row r="262" spans="1:11" x14ac:dyDescent="0.25">
      <c r="A262" s="12" t="s">
        <v>82</v>
      </c>
      <c r="B262" s="2" t="s">
        <v>69</v>
      </c>
      <c r="C262" s="3">
        <v>1</v>
      </c>
      <c r="D262" s="4">
        <f>Salarios!$M$10</f>
        <v>0</v>
      </c>
      <c r="E262" s="13">
        <f>C262*D262</f>
        <v>0</v>
      </c>
      <c r="G262" s="12" t="s">
        <v>31</v>
      </c>
      <c r="H262" s="2" t="s">
        <v>69</v>
      </c>
      <c r="I262" s="3">
        <v>1</v>
      </c>
      <c r="J262" s="4">
        <f>Salarios!$M$36</f>
        <v>0</v>
      </c>
      <c r="K262" s="13">
        <f>I262*J262</f>
        <v>0</v>
      </c>
    </row>
    <row r="263" spans="1:11" x14ac:dyDescent="0.25">
      <c r="A263" s="14" t="s">
        <v>26</v>
      </c>
      <c r="B263" s="2" t="s">
        <v>69</v>
      </c>
      <c r="C263" s="3">
        <v>1</v>
      </c>
      <c r="D263" s="4">
        <f>Salarios!$M$53</f>
        <v>0</v>
      </c>
      <c r="E263" s="13">
        <f>C263*D263</f>
        <v>0</v>
      </c>
      <c r="G263" s="14"/>
      <c r="H263" s="2"/>
      <c r="I263" s="3"/>
      <c r="J263" s="4"/>
      <c r="K263" s="13">
        <f>I263*J263</f>
        <v>0</v>
      </c>
    </row>
    <row r="264" spans="1:11" x14ac:dyDescent="0.25">
      <c r="A264" s="14"/>
      <c r="B264" s="2"/>
      <c r="C264" s="3"/>
      <c r="D264" s="4"/>
      <c r="E264" s="13">
        <f>C264*D264</f>
        <v>0</v>
      </c>
      <c r="G264" s="14"/>
      <c r="H264" s="2"/>
      <c r="I264" s="3"/>
      <c r="J264" s="4"/>
      <c r="K264" s="13">
        <f>I264*J264</f>
        <v>0</v>
      </c>
    </row>
    <row r="265" spans="1:11" x14ac:dyDescent="0.25">
      <c r="A265" s="14"/>
      <c r="B265" s="2"/>
      <c r="C265" s="3"/>
      <c r="D265" s="4"/>
      <c r="E265" s="13">
        <f>C265*D265</f>
        <v>0</v>
      </c>
      <c r="G265" s="14"/>
      <c r="H265" s="2"/>
      <c r="I265" s="3"/>
      <c r="J265" s="4"/>
      <c r="K265" s="13">
        <f>I265*J265</f>
        <v>0</v>
      </c>
    </row>
    <row r="266" spans="1:11" x14ac:dyDescent="0.25">
      <c r="A266" s="212" t="s">
        <v>63</v>
      </c>
      <c r="B266" s="213"/>
      <c r="C266" s="213"/>
      <c r="D266" s="213"/>
      <c r="E266" s="13"/>
      <c r="G266" s="212" t="s">
        <v>63</v>
      </c>
      <c r="H266" s="213"/>
      <c r="I266" s="213"/>
      <c r="J266" s="213"/>
      <c r="K266" s="13"/>
    </row>
    <row r="267" spans="1:11" x14ac:dyDescent="0.25">
      <c r="A267" s="14"/>
      <c r="B267" s="2"/>
      <c r="C267" s="5"/>
      <c r="D267" s="4"/>
      <c r="E267" s="13">
        <f>C267*D267</f>
        <v>0</v>
      </c>
      <c r="G267" s="14" t="s">
        <v>112</v>
      </c>
      <c r="H267" s="2" t="s">
        <v>69</v>
      </c>
      <c r="I267" s="5">
        <f>(I262+I263+I264+I265)/20</f>
        <v>0.05</v>
      </c>
      <c r="J267" s="4">
        <f>Salarios!$M$15</f>
        <v>0</v>
      </c>
      <c r="K267" s="13">
        <f>I267*J267</f>
        <v>0</v>
      </c>
    </row>
    <row r="268" spans="1:11" x14ac:dyDescent="0.25">
      <c r="A268" s="14" t="s">
        <v>58</v>
      </c>
      <c r="B268" s="2" t="s">
        <v>69</v>
      </c>
      <c r="C268" s="5">
        <f>(C262+C263+C264+C265)/20</f>
        <v>0.1</v>
      </c>
      <c r="D268" s="4">
        <f>Salarios!$M$26</f>
        <v>0</v>
      </c>
      <c r="E268" s="13">
        <f>C268*D268</f>
        <v>0</v>
      </c>
      <c r="G268" s="14" t="s">
        <v>58</v>
      </c>
      <c r="H268" s="2" t="s">
        <v>69</v>
      </c>
      <c r="I268" s="5">
        <f>(I262+I263+I264+I265)/60</f>
        <v>1.6666666666666666E-2</v>
      </c>
      <c r="J268" s="4">
        <f>Salarios!$M$26</f>
        <v>0</v>
      </c>
      <c r="K268" s="13">
        <f>I268*J268</f>
        <v>0</v>
      </c>
    </row>
    <row r="269" spans="1:11" x14ac:dyDescent="0.25">
      <c r="A269" s="205" t="s">
        <v>65</v>
      </c>
      <c r="B269" s="206"/>
      <c r="C269" s="206"/>
      <c r="D269" s="206"/>
      <c r="E269" s="13">
        <f>SUM(E262:E268)</f>
        <v>0</v>
      </c>
      <c r="G269" s="205" t="s">
        <v>65</v>
      </c>
      <c r="H269" s="206"/>
      <c r="I269" s="206"/>
      <c r="J269" s="206"/>
      <c r="K269" s="13">
        <f>SUM(K262:K268)</f>
        <v>0</v>
      </c>
    </row>
    <row r="270" spans="1:11" x14ac:dyDescent="0.25">
      <c r="A270" s="14" t="s">
        <v>66</v>
      </c>
      <c r="B270" s="2" t="s">
        <v>71</v>
      </c>
      <c r="C270" s="6">
        <v>0.04</v>
      </c>
      <c r="D270" s="4">
        <f>E269</f>
        <v>0</v>
      </c>
      <c r="E270" s="13">
        <f>C270*D270</f>
        <v>0</v>
      </c>
      <c r="G270" s="14" t="s">
        <v>66</v>
      </c>
      <c r="H270" s="2" t="s">
        <v>71</v>
      </c>
      <c r="I270" s="6">
        <v>0.04</v>
      </c>
      <c r="J270" s="4">
        <f>K269</f>
        <v>0</v>
      </c>
      <c r="K270" s="13">
        <f>I270*J270</f>
        <v>0</v>
      </c>
    </row>
    <row r="271" spans="1:11" ht="13.8" thickBot="1" x14ac:dyDescent="0.3">
      <c r="A271" s="207" t="s">
        <v>64</v>
      </c>
      <c r="B271" s="208"/>
      <c r="C271" s="208"/>
      <c r="D271" s="208"/>
      <c r="E271" s="15">
        <f>SUM(E269:E270)</f>
        <v>0</v>
      </c>
      <c r="G271" s="207" t="s">
        <v>64</v>
      </c>
      <c r="H271" s="208"/>
      <c r="I271" s="208"/>
      <c r="J271" s="208"/>
      <c r="K271" s="15">
        <f>SUM(K269:K270)</f>
        <v>0</v>
      </c>
    </row>
    <row r="273" spans="1:11" ht="13.8" thickBot="1" x14ac:dyDescent="0.3"/>
    <row r="274" spans="1:11" x14ac:dyDescent="0.25">
      <c r="A274" s="7" t="s">
        <v>111</v>
      </c>
      <c r="B274" s="8"/>
      <c r="C274" s="8"/>
      <c r="D274" s="8"/>
      <c r="E274" s="9"/>
      <c r="G274" s="7" t="s">
        <v>117</v>
      </c>
      <c r="H274" s="8"/>
      <c r="I274" s="8"/>
      <c r="J274" s="8"/>
      <c r="K274" s="9"/>
    </row>
    <row r="275" spans="1:11" x14ac:dyDescent="0.25">
      <c r="A275" s="10" t="s">
        <v>59</v>
      </c>
      <c r="B275" s="1" t="s">
        <v>60</v>
      </c>
      <c r="C275" s="1" t="s">
        <v>61</v>
      </c>
      <c r="D275" s="1" t="s">
        <v>10</v>
      </c>
      <c r="E275" s="11" t="s">
        <v>62</v>
      </c>
      <c r="G275" s="10" t="s">
        <v>59</v>
      </c>
      <c r="H275" s="1" t="s">
        <v>60</v>
      </c>
      <c r="I275" s="1" t="s">
        <v>61</v>
      </c>
      <c r="J275" s="1" t="s">
        <v>10</v>
      </c>
      <c r="K275" s="11" t="s">
        <v>62</v>
      </c>
    </row>
    <row r="276" spans="1:11" x14ac:dyDescent="0.25">
      <c r="A276" s="12" t="s">
        <v>82</v>
      </c>
      <c r="B276" s="2" t="s">
        <v>69</v>
      </c>
      <c r="C276" s="3">
        <v>1</v>
      </c>
      <c r="D276" s="4">
        <f>Salarios!$M$10</f>
        <v>0</v>
      </c>
      <c r="E276" s="13">
        <f>C276*D276</f>
        <v>0</v>
      </c>
      <c r="G276" s="12" t="s">
        <v>31</v>
      </c>
      <c r="H276" s="2" t="s">
        <v>69</v>
      </c>
      <c r="I276" s="3">
        <v>1</v>
      </c>
      <c r="J276" s="4">
        <f>Salarios!$M$36</f>
        <v>0</v>
      </c>
      <c r="K276" s="13">
        <f>I276*J276</f>
        <v>0</v>
      </c>
    </row>
    <row r="277" spans="1:11" x14ac:dyDescent="0.25">
      <c r="A277" s="14" t="s">
        <v>27</v>
      </c>
      <c r="B277" s="2" t="s">
        <v>69</v>
      </c>
      <c r="C277" s="3">
        <v>1</v>
      </c>
      <c r="D277" s="4">
        <f>Salarios!$M$41</f>
        <v>0</v>
      </c>
      <c r="E277" s="13">
        <f>C277*D277</f>
        <v>0</v>
      </c>
      <c r="G277" s="12" t="s">
        <v>11</v>
      </c>
      <c r="H277" s="2" t="s">
        <v>69</v>
      </c>
      <c r="I277" s="3">
        <v>1</v>
      </c>
      <c r="J277" s="4">
        <f>Salarios!$M$39</f>
        <v>0</v>
      </c>
      <c r="K277" s="13">
        <f>I277*J277</f>
        <v>0</v>
      </c>
    </row>
    <row r="278" spans="1:11" x14ac:dyDescent="0.25">
      <c r="A278" s="14"/>
      <c r="B278" s="2"/>
      <c r="C278" s="3"/>
      <c r="D278" s="4"/>
      <c r="E278" s="13">
        <f>C278*D278</f>
        <v>0</v>
      </c>
      <c r="G278" s="14"/>
      <c r="H278" s="2"/>
      <c r="I278" s="3"/>
      <c r="J278" s="4"/>
      <c r="K278" s="13">
        <f>I278*J278</f>
        <v>0</v>
      </c>
    </row>
    <row r="279" spans="1:11" x14ac:dyDescent="0.25">
      <c r="A279" s="14"/>
      <c r="B279" s="2"/>
      <c r="C279" s="3"/>
      <c r="D279" s="4"/>
      <c r="E279" s="13">
        <f>C279*D279</f>
        <v>0</v>
      </c>
      <c r="G279" s="14"/>
      <c r="H279" s="2"/>
      <c r="I279" s="3"/>
      <c r="J279" s="4"/>
      <c r="K279" s="13">
        <f>I279*J279</f>
        <v>0</v>
      </c>
    </row>
    <row r="280" spans="1:11" x14ac:dyDescent="0.25">
      <c r="A280" s="212" t="s">
        <v>63</v>
      </c>
      <c r="B280" s="213"/>
      <c r="C280" s="213"/>
      <c r="D280" s="213"/>
      <c r="E280" s="13"/>
      <c r="G280" s="212" t="s">
        <v>63</v>
      </c>
      <c r="H280" s="213"/>
      <c r="I280" s="213"/>
      <c r="J280" s="213"/>
      <c r="K280" s="13"/>
    </row>
    <row r="281" spans="1:11" x14ac:dyDescent="0.25">
      <c r="A281" s="14" t="s">
        <v>112</v>
      </c>
      <c r="B281" s="2" t="s">
        <v>69</v>
      </c>
      <c r="C281" s="5">
        <f>(C276+C277+C278+C279)/20</f>
        <v>0.1</v>
      </c>
      <c r="D281" s="4">
        <f>Salarios!$M$15</f>
        <v>0</v>
      </c>
      <c r="E281" s="13">
        <f>C281*D281</f>
        <v>0</v>
      </c>
      <c r="G281" s="14" t="s">
        <v>112</v>
      </c>
      <c r="H281" s="2" t="s">
        <v>69</v>
      </c>
      <c r="I281" s="5">
        <f>(I276+I277+I278+I279)/20</f>
        <v>0.1</v>
      </c>
      <c r="J281" s="4">
        <f>Salarios!$M$15</f>
        <v>0</v>
      </c>
      <c r="K281" s="13">
        <f>I281*J281</f>
        <v>0</v>
      </c>
    </row>
    <row r="282" spans="1:11" x14ac:dyDescent="0.25">
      <c r="A282" s="14" t="s">
        <v>58</v>
      </c>
      <c r="B282" s="2" t="s">
        <v>69</v>
      </c>
      <c r="C282" s="5">
        <f>(C276+C277+C278+C279)/40</f>
        <v>0.05</v>
      </c>
      <c r="D282" s="4">
        <f>Salarios!$M$26</f>
        <v>0</v>
      </c>
      <c r="E282" s="13">
        <f>C282*D282</f>
        <v>0</v>
      </c>
      <c r="G282" s="14" t="s">
        <v>58</v>
      </c>
      <c r="H282" s="2" t="s">
        <v>69</v>
      </c>
      <c r="I282" s="5">
        <f>(I276+I277+I278+I279)/60</f>
        <v>3.3333333333333333E-2</v>
      </c>
      <c r="J282" s="4">
        <f>Salarios!$M$26</f>
        <v>0</v>
      </c>
      <c r="K282" s="13">
        <f>I282*J282</f>
        <v>0</v>
      </c>
    </row>
    <row r="283" spans="1:11" x14ac:dyDescent="0.25">
      <c r="A283" s="205" t="s">
        <v>65</v>
      </c>
      <c r="B283" s="206"/>
      <c r="C283" s="206"/>
      <c r="D283" s="206"/>
      <c r="E283" s="13">
        <f>SUM(E276:E282)</f>
        <v>0</v>
      </c>
      <c r="G283" s="205" t="s">
        <v>65</v>
      </c>
      <c r="H283" s="206"/>
      <c r="I283" s="206"/>
      <c r="J283" s="206"/>
      <c r="K283" s="13">
        <f>SUM(K276:K282)</f>
        <v>0</v>
      </c>
    </row>
    <row r="284" spans="1:11" x14ac:dyDescent="0.25">
      <c r="A284" s="14" t="s">
        <v>66</v>
      </c>
      <c r="B284" s="2" t="s">
        <v>71</v>
      </c>
      <c r="C284" s="6">
        <v>0.04</v>
      </c>
      <c r="D284" s="4">
        <f>E283</f>
        <v>0</v>
      </c>
      <c r="E284" s="13">
        <f>C284*D284</f>
        <v>0</v>
      </c>
      <c r="G284" s="14" t="s">
        <v>66</v>
      </c>
      <c r="H284" s="2" t="s">
        <v>71</v>
      </c>
      <c r="I284" s="6">
        <v>0.04</v>
      </c>
      <c r="J284" s="4">
        <f>K283</f>
        <v>0</v>
      </c>
      <c r="K284" s="13">
        <f>I284*J284</f>
        <v>0</v>
      </c>
    </row>
    <row r="285" spans="1:11" ht="13.8" thickBot="1" x14ac:dyDescent="0.3">
      <c r="A285" s="207" t="s">
        <v>64</v>
      </c>
      <c r="B285" s="208"/>
      <c r="C285" s="208"/>
      <c r="D285" s="208"/>
      <c r="E285" s="15">
        <f>SUM(E283:E284)</f>
        <v>0</v>
      </c>
      <c r="G285" s="207" t="s">
        <v>64</v>
      </c>
      <c r="H285" s="208"/>
      <c r="I285" s="208"/>
      <c r="J285" s="208"/>
      <c r="K285" s="15">
        <f>SUM(K283:K284)</f>
        <v>0</v>
      </c>
    </row>
    <row r="287" spans="1:11" ht="13.8" thickBot="1" x14ac:dyDescent="0.3"/>
    <row r="288" spans="1:11" x14ac:dyDescent="0.25">
      <c r="A288" s="7" t="s">
        <v>118</v>
      </c>
      <c r="B288" s="8"/>
      <c r="C288" s="8"/>
      <c r="D288" s="8"/>
      <c r="E288" s="9"/>
      <c r="G288" s="209" t="s">
        <v>125</v>
      </c>
      <c r="H288" s="210"/>
      <c r="I288" s="210"/>
      <c r="J288" s="210"/>
      <c r="K288" s="211"/>
    </row>
    <row r="289" spans="1:11" x14ac:dyDescent="0.25">
      <c r="A289" s="10" t="s">
        <v>59</v>
      </c>
      <c r="B289" s="1" t="s">
        <v>60</v>
      </c>
      <c r="C289" s="1" t="s">
        <v>61</v>
      </c>
      <c r="D289" s="1" t="s">
        <v>10</v>
      </c>
      <c r="E289" s="11" t="s">
        <v>62</v>
      </c>
      <c r="G289" s="10" t="s">
        <v>59</v>
      </c>
      <c r="H289" s="1" t="s">
        <v>60</v>
      </c>
      <c r="I289" s="1" t="s">
        <v>61</v>
      </c>
      <c r="J289" s="1" t="s">
        <v>10</v>
      </c>
      <c r="K289" s="11" t="s">
        <v>62</v>
      </c>
    </row>
    <row r="290" spans="1:11" x14ac:dyDescent="0.25">
      <c r="A290" s="12" t="s">
        <v>31</v>
      </c>
      <c r="B290" s="2" t="s">
        <v>69</v>
      </c>
      <c r="C290" s="3">
        <v>1</v>
      </c>
      <c r="D290" s="4">
        <f>Salarios!$M$36</f>
        <v>0</v>
      </c>
      <c r="E290" s="13">
        <f>C290*D290</f>
        <v>0</v>
      </c>
      <c r="G290" s="12" t="s">
        <v>11</v>
      </c>
      <c r="H290" s="2" t="s">
        <v>69</v>
      </c>
      <c r="I290" s="3">
        <v>1</v>
      </c>
      <c r="J290" s="4">
        <f>Salarios!$M$39</f>
        <v>0</v>
      </c>
      <c r="K290" s="13">
        <f>I290*J290</f>
        <v>0</v>
      </c>
    </row>
    <row r="291" spans="1:11" x14ac:dyDescent="0.25">
      <c r="A291" s="12" t="s">
        <v>11</v>
      </c>
      <c r="B291" s="2" t="s">
        <v>69</v>
      </c>
      <c r="C291" s="3">
        <v>2</v>
      </c>
      <c r="D291" s="4">
        <f>Salarios!$M$39</f>
        <v>0</v>
      </c>
      <c r="E291" s="13">
        <f>C291*D291</f>
        <v>0</v>
      </c>
      <c r="G291" s="14" t="s">
        <v>35</v>
      </c>
      <c r="H291" s="2" t="s">
        <v>69</v>
      </c>
      <c r="I291" s="3">
        <v>1</v>
      </c>
      <c r="J291" s="4">
        <f>Salarios!$M$21</f>
        <v>0</v>
      </c>
      <c r="K291" s="13">
        <f>I291*J291</f>
        <v>0</v>
      </c>
    </row>
    <row r="292" spans="1:11" x14ac:dyDescent="0.25">
      <c r="A292" s="14"/>
      <c r="B292" s="2"/>
      <c r="C292" s="3"/>
      <c r="D292" s="4"/>
      <c r="E292" s="13">
        <f>C292*D292</f>
        <v>0</v>
      </c>
      <c r="G292" s="14"/>
      <c r="H292" s="2"/>
      <c r="I292" s="3"/>
      <c r="J292" s="4"/>
      <c r="K292" s="13">
        <f>I292*J292</f>
        <v>0</v>
      </c>
    </row>
    <row r="293" spans="1:11" x14ac:dyDescent="0.25">
      <c r="A293" s="14"/>
      <c r="B293" s="2"/>
      <c r="C293" s="3"/>
      <c r="D293" s="4"/>
      <c r="E293" s="13">
        <f>C293*D293</f>
        <v>0</v>
      </c>
      <c r="G293" s="14"/>
      <c r="H293" s="2"/>
      <c r="I293" s="3"/>
      <c r="J293" s="4"/>
      <c r="K293" s="13">
        <f>I293*J293</f>
        <v>0</v>
      </c>
    </row>
    <row r="294" spans="1:11" x14ac:dyDescent="0.25">
      <c r="A294" s="212" t="s">
        <v>63</v>
      </c>
      <c r="B294" s="213"/>
      <c r="C294" s="213"/>
      <c r="D294" s="213"/>
      <c r="E294" s="13"/>
      <c r="G294" s="212" t="s">
        <v>63</v>
      </c>
      <c r="H294" s="213"/>
      <c r="I294" s="213"/>
      <c r="J294" s="213"/>
      <c r="K294" s="13"/>
    </row>
    <row r="295" spans="1:11" x14ac:dyDescent="0.25">
      <c r="A295" s="14" t="s">
        <v>112</v>
      </c>
      <c r="B295" s="2" t="s">
        <v>69</v>
      </c>
      <c r="C295" s="5">
        <f>(C290+C291+C292+C293)/20</f>
        <v>0.15</v>
      </c>
      <c r="D295" s="4">
        <f>Salarios!$M$15</f>
        <v>0</v>
      </c>
      <c r="E295" s="13">
        <f>C295*D295</f>
        <v>0</v>
      </c>
      <c r="G295" s="14" t="s">
        <v>123</v>
      </c>
      <c r="H295" s="2" t="s">
        <v>69</v>
      </c>
      <c r="I295" s="5">
        <f>(I290+I291+I292+I293)/20</f>
        <v>0.1</v>
      </c>
      <c r="J295" s="4">
        <f>Salarios!$M$44</f>
        <v>0</v>
      </c>
      <c r="K295" s="13">
        <f>I295*J295</f>
        <v>0</v>
      </c>
    </row>
    <row r="296" spans="1:11" x14ac:dyDescent="0.25">
      <c r="A296" s="14" t="s">
        <v>58</v>
      </c>
      <c r="B296" s="2" t="s">
        <v>69</v>
      </c>
      <c r="C296" s="5">
        <f>(C290+C291+C292+C293)/60</f>
        <v>0.05</v>
      </c>
      <c r="D296" s="4">
        <f>Salarios!$M$26</f>
        <v>0</v>
      </c>
      <c r="E296" s="13">
        <f>C296*D296</f>
        <v>0</v>
      </c>
      <c r="G296" s="14" t="s">
        <v>58</v>
      </c>
      <c r="H296" s="2" t="s">
        <v>69</v>
      </c>
      <c r="I296" s="5">
        <f>(I290+I291+I292+I293)/60</f>
        <v>3.3333333333333333E-2</v>
      </c>
      <c r="J296" s="4">
        <f>Salarios!$M$26</f>
        <v>0</v>
      </c>
      <c r="K296" s="13">
        <f>I296*J296</f>
        <v>0</v>
      </c>
    </row>
    <row r="297" spans="1:11" x14ac:dyDescent="0.25">
      <c r="A297" s="205" t="s">
        <v>65</v>
      </c>
      <c r="B297" s="206"/>
      <c r="C297" s="206"/>
      <c r="D297" s="206"/>
      <c r="E297" s="13">
        <f>SUM(E290:E296)</f>
        <v>0</v>
      </c>
      <c r="G297" s="205" t="s">
        <v>65</v>
      </c>
      <c r="H297" s="206"/>
      <c r="I297" s="206"/>
      <c r="J297" s="206"/>
      <c r="K297" s="13">
        <f>SUM(K290:K296)</f>
        <v>0</v>
      </c>
    </row>
    <row r="298" spans="1:11" x14ac:dyDescent="0.25">
      <c r="A298" s="14" t="s">
        <v>66</v>
      </c>
      <c r="B298" s="2" t="s">
        <v>71</v>
      </c>
      <c r="C298" s="6">
        <v>0.04</v>
      </c>
      <c r="D298" s="4">
        <f>E297</f>
        <v>0</v>
      </c>
      <c r="E298" s="13">
        <f>C298*D298</f>
        <v>0</v>
      </c>
      <c r="G298" s="14" t="s">
        <v>66</v>
      </c>
      <c r="H298" s="2" t="s">
        <v>71</v>
      </c>
      <c r="I298" s="6">
        <v>0.04</v>
      </c>
      <c r="J298" s="4">
        <f>K297</f>
        <v>0</v>
      </c>
      <c r="K298" s="13">
        <f>I298*J298</f>
        <v>0</v>
      </c>
    </row>
    <row r="299" spans="1:11" ht="13.8" thickBot="1" x14ac:dyDescent="0.3">
      <c r="A299" s="207" t="s">
        <v>64</v>
      </c>
      <c r="B299" s="208"/>
      <c r="C299" s="208"/>
      <c r="D299" s="208"/>
      <c r="E299" s="15">
        <f>SUM(E297:E298)</f>
        <v>0</v>
      </c>
      <c r="G299" s="207" t="s">
        <v>64</v>
      </c>
      <c r="H299" s="208"/>
      <c r="I299" s="208"/>
      <c r="J299" s="208"/>
      <c r="K299" s="15">
        <f>SUM(K297:K298)</f>
        <v>0</v>
      </c>
    </row>
    <row r="301" spans="1:11" ht="13.8" thickBot="1" x14ac:dyDescent="0.3"/>
    <row r="302" spans="1:11" x14ac:dyDescent="0.25">
      <c r="A302" s="7" t="s">
        <v>119</v>
      </c>
      <c r="B302" s="8"/>
      <c r="C302" s="8"/>
      <c r="D302" s="8"/>
      <c r="E302" s="9"/>
      <c r="G302" s="209" t="s">
        <v>126</v>
      </c>
      <c r="H302" s="210"/>
      <c r="I302" s="210"/>
      <c r="J302" s="210"/>
      <c r="K302" s="211"/>
    </row>
    <row r="303" spans="1:11" x14ac:dyDescent="0.25">
      <c r="A303" s="10" t="s">
        <v>59</v>
      </c>
      <c r="B303" s="1" t="s">
        <v>60</v>
      </c>
      <c r="C303" s="1" t="s">
        <v>61</v>
      </c>
      <c r="D303" s="1" t="s">
        <v>10</v>
      </c>
      <c r="E303" s="11" t="s">
        <v>62</v>
      </c>
      <c r="G303" s="10" t="s">
        <v>59</v>
      </c>
      <c r="H303" s="1" t="s">
        <v>60</v>
      </c>
      <c r="I303" s="1" t="s">
        <v>61</v>
      </c>
      <c r="J303" s="1" t="s">
        <v>10</v>
      </c>
      <c r="K303" s="11" t="s">
        <v>62</v>
      </c>
    </row>
    <row r="304" spans="1:11" x14ac:dyDescent="0.25">
      <c r="A304" s="12" t="s">
        <v>31</v>
      </c>
      <c r="B304" s="2" t="s">
        <v>69</v>
      </c>
      <c r="C304" s="3">
        <v>1</v>
      </c>
      <c r="D304" s="4">
        <f>Salarios!$M$36</f>
        <v>0</v>
      </c>
      <c r="E304" s="13">
        <f>C304*D304</f>
        <v>0</v>
      </c>
      <c r="G304" s="12" t="s">
        <v>79</v>
      </c>
      <c r="H304" s="2" t="s">
        <v>69</v>
      </c>
      <c r="I304" s="3">
        <v>1</v>
      </c>
      <c r="J304" s="4">
        <f>Salarios!$M$11</f>
        <v>0</v>
      </c>
      <c r="K304" s="13">
        <f>I304*J304</f>
        <v>0</v>
      </c>
    </row>
    <row r="305" spans="1:11" x14ac:dyDescent="0.25">
      <c r="A305" s="12" t="s">
        <v>11</v>
      </c>
      <c r="B305" s="2" t="s">
        <v>69</v>
      </c>
      <c r="C305" s="3">
        <v>3</v>
      </c>
      <c r="D305" s="4">
        <f>Salarios!$M$39</f>
        <v>0</v>
      </c>
      <c r="E305" s="13">
        <f>C305*D305</f>
        <v>0</v>
      </c>
      <c r="G305" s="14" t="s">
        <v>35</v>
      </c>
      <c r="H305" s="2" t="s">
        <v>69</v>
      </c>
      <c r="I305" s="3">
        <v>1</v>
      </c>
      <c r="J305" s="4">
        <f>Salarios!$M$21</f>
        <v>0</v>
      </c>
      <c r="K305" s="13">
        <f>I305*J305</f>
        <v>0</v>
      </c>
    </row>
    <row r="306" spans="1:11" x14ac:dyDescent="0.25">
      <c r="A306" s="14"/>
      <c r="B306" s="2"/>
      <c r="C306" s="3"/>
      <c r="D306" s="4"/>
      <c r="E306" s="13">
        <f>C306*D306</f>
        <v>0</v>
      </c>
      <c r="G306" s="14"/>
      <c r="H306" s="2"/>
      <c r="I306" s="3"/>
      <c r="J306" s="4"/>
      <c r="K306" s="13">
        <f>I306*J306</f>
        <v>0</v>
      </c>
    </row>
    <row r="307" spans="1:11" x14ac:dyDescent="0.25">
      <c r="A307" s="14"/>
      <c r="B307" s="2"/>
      <c r="C307" s="3"/>
      <c r="D307" s="4"/>
      <c r="E307" s="13">
        <f>C307*D307</f>
        <v>0</v>
      </c>
      <c r="G307" s="14"/>
      <c r="H307" s="2"/>
      <c r="I307" s="3"/>
      <c r="J307" s="4"/>
      <c r="K307" s="13">
        <f>I307*J307</f>
        <v>0</v>
      </c>
    </row>
    <row r="308" spans="1:11" x14ac:dyDescent="0.25">
      <c r="A308" s="212" t="s">
        <v>63</v>
      </c>
      <c r="B308" s="213"/>
      <c r="C308" s="213"/>
      <c r="D308" s="213"/>
      <c r="E308" s="13"/>
      <c r="G308" s="212" t="s">
        <v>63</v>
      </c>
      <c r="H308" s="213"/>
      <c r="I308" s="213"/>
      <c r="J308" s="213"/>
      <c r="K308" s="13"/>
    </row>
    <row r="309" spans="1:11" x14ac:dyDescent="0.25">
      <c r="A309" s="14" t="s">
        <v>112</v>
      </c>
      <c r="B309" s="2" t="s">
        <v>69</v>
      </c>
      <c r="C309" s="5">
        <f>(C304+C305+C306+C307)/20</f>
        <v>0.2</v>
      </c>
      <c r="D309" s="4">
        <f>Salarios!$M$15</f>
        <v>0</v>
      </c>
      <c r="E309" s="13">
        <f>C309*D309</f>
        <v>0</v>
      </c>
      <c r="G309" s="14" t="s">
        <v>123</v>
      </c>
      <c r="H309" s="2" t="s">
        <v>69</v>
      </c>
      <c r="I309" s="5">
        <f>(I304+I305+I306+I307)/20</f>
        <v>0.1</v>
      </c>
      <c r="J309" s="4">
        <f>Salarios!$M$44</f>
        <v>0</v>
      </c>
      <c r="K309" s="13">
        <f>I309*J309</f>
        <v>0</v>
      </c>
    </row>
    <row r="310" spans="1:11" x14ac:dyDescent="0.25">
      <c r="A310" s="14" t="s">
        <v>58</v>
      </c>
      <c r="B310" s="2" t="s">
        <v>69</v>
      </c>
      <c r="C310" s="5">
        <f>(C304+C305+C306+C307)/60</f>
        <v>6.6666666666666666E-2</v>
      </c>
      <c r="D310" s="4">
        <f>Salarios!$M$26</f>
        <v>0</v>
      </c>
      <c r="E310" s="13">
        <f>C310*D310</f>
        <v>0</v>
      </c>
      <c r="G310" s="14" t="s">
        <v>58</v>
      </c>
      <c r="H310" s="2" t="s">
        <v>69</v>
      </c>
      <c r="I310" s="5">
        <f>(I304+I305+I306+I307)/60</f>
        <v>3.3333333333333333E-2</v>
      </c>
      <c r="J310" s="4">
        <f>Salarios!$M$26</f>
        <v>0</v>
      </c>
      <c r="K310" s="13">
        <f>I310*J310</f>
        <v>0</v>
      </c>
    </row>
    <row r="311" spans="1:11" x14ac:dyDescent="0.25">
      <c r="A311" s="205" t="s">
        <v>65</v>
      </c>
      <c r="B311" s="206"/>
      <c r="C311" s="206"/>
      <c r="D311" s="206"/>
      <c r="E311" s="13">
        <f>SUM(E304:E310)</f>
        <v>0</v>
      </c>
      <c r="G311" s="205" t="s">
        <v>65</v>
      </c>
      <c r="H311" s="206"/>
      <c r="I311" s="206"/>
      <c r="J311" s="206"/>
      <c r="K311" s="13">
        <f>SUM(K304:K310)</f>
        <v>0</v>
      </c>
    </row>
    <row r="312" spans="1:11" x14ac:dyDescent="0.25">
      <c r="A312" s="14" t="s">
        <v>66</v>
      </c>
      <c r="B312" s="2" t="s">
        <v>71</v>
      </c>
      <c r="C312" s="6">
        <v>0.04</v>
      </c>
      <c r="D312" s="4">
        <f>E311</f>
        <v>0</v>
      </c>
      <c r="E312" s="13">
        <f>C312*D312</f>
        <v>0</v>
      </c>
      <c r="G312" s="14" t="s">
        <v>66</v>
      </c>
      <c r="H312" s="2" t="s">
        <v>71</v>
      </c>
      <c r="I312" s="6">
        <v>0.04</v>
      </c>
      <c r="J312" s="4">
        <f>K311</f>
        <v>0</v>
      </c>
      <c r="K312" s="13">
        <f>I312*J312</f>
        <v>0</v>
      </c>
    </row>
    <row r="313" spans="1:11" ht="13.8" thickBot="1" x14ac:dyDescent="0.3">
      <c r="A313" s="207" t="s">
        <v>64</v>
      </c>
      <c r="B313" s="208"/>
      <c r="C313" s="208"/>
      <c r="D313" s="208"/>
      <c r="E313" s="15">
        <f>SUM(E311:E312)</f>
        <v>0</v>
      </c>
      <c r="G313" s="207" t="s">
        <v>64</v>
      </c>
      <c r="H313" s="208"/>
      <c r="I313" s="208"/>
      <c r="J313" s="208"/>
      <c r="K313" s="15">
        <f>SUM(K311:K312)</f>
        <v>0</v>
      </c>
    </row>
    <row r="315" spans="1:11" ht="13.8" thickBot="1" x14ac:dyDescent="0.3"/>
    <row r="316" spans="1:11" x14ac:dyDescent="0.25">
      <c r="A316" s="7" t="s">
        <v>120</v>
      </c>
      <c r="B316" s="8"/>
      <c r="C316" s="8"/>
      <c r="D316" s="8"/>
      <c r="E316" s="9"/>
      <c r="G316" s="209" t="s">
        <v>127</v>
      </c>
      <c r="H316" s="210"/>
      <c r="I316" s="210"/>
      <c r="J316" s="210"/>
      <c r="K316" s="211"/>
    </row>
    <row r="317" spans="1:11" x14ac:dyDescent="0.25">
      <c r="A317" s="10" t="s">
        <v>59</v>
      </c>
      <c r="B317" s="1" t="s">
        <v>60</v>
      </c>
      <c r="C317" s="1" t="s">
        <v>61</v>
      </c>
      <c r="D317" s="1" t="s">
        <v>10</v>
      </c>
      <c r="E317" s="11" t="s">
        <v>62</v>
      </c>
      <c r="G317" s="10" t="s">
        <v>59</v>
      </c>
      <c r="H317" s="1" t="s">
        <v>60</v>
      </c>
      <c r="I317" s="1" t="s">
        <v>61</v>
      </c>
      <c r="J317" s="1" t="s">
        <v>10</v>
      </c>
      <c r="K317" s="11" t="s">
        <v>62</v>
      </c>
    </row>
    <row r="318" spans="1:11" x14ac:dyDescent="0.25">
      <c r="A318" s="12" t="s">
        <v>31</v>
      </c>
      <c r="B318" s="2" t="s">
        <v>69</v>
      </c>
      <c r="C318" s="3">
        <v>1</v>
      </c>
      <c r="D318" s="4">
        <f>Salarios!$M$36</f>
        <v>0</v>
      </c>
      <c r="E318" s="13">
        <f>C318*D318</f>
        <v>0</v>
      </c>
      <c r="G318" s="12" t="s">
        <v>82</v>
      </c>
      <c r="H318" s="2" t="s">
        <v>69</v>
      </c>
      <c r="I318" s="3">
        <v>4</v>
      </c>
      <c r="J318" s="4">
        <f>Salarios!$M$10</f>
        <v>0</v>
      </c>
      <c r="K318" s="13">
        <f>I318*J318</f>
        <v>0</v>
      </c>
    </row>
    <row r="319" spans="1:11" x14ac:dyDescent="0.25">
      <c r="A319" s="12" t="s">
        <v>11</v>
      </c>
      <c r="B319" s="2" t="s">
        <v>69</v>
      </c>
      <c r="C319" s="3">
        <v>4</v>
      </c>
      <c r="D319" s="4">
        <f>Salarios!$M$39</f>
        <v>0</v>
      </c>
      <c r="E319" s="13">
        <f>C319*D319</f>
        <v>0</v>
      </c>
      <c r="G319" s="12" t="s">
        <v>128</v>
      </c>
      <c r="H319" s="2" t="s">
        <v>69</v>
      </c>
      <c r="I319" s="3">
        <v>1</v>
      </c>
      <c r="J319" s="4">
        <f>Salarios!$M$9</f>
        <v>0</v>
      </c>
      <c r="K319" s="13">
        <f>I319*J319</f>
        <v>0</v>
      </c>
    </row>
    <row r="320" spans="1:11" x14ac:dyDescent="0.25">
      <c r="A320" s="14"/>
      <c r="B320" s="2"/>
      <c r="C320" s="3"/>
      <c r="D320" s="4"/>
      <c r="E320" s="13">
        <f>C320*D320</f>
        <v>0</v>
      </c>
      <c r="G320" s="14"/>
      <c r="H320" s="2"/>
      <c r="I320" s="3"/>
      <c r="J320" s="4"/>
      <c r="K320" s="13">
        <f>I320*J320</f>
        <v>0</v>
      </c>
    </row>
    <row r="321" spans="1:11" x14ac:dyDescent="0.25">
      <c r="A321" s="14"/>
      <c r="B321" s="2"/>
      <c r="C321" s="3"/>
      <c r="D321" s="4"/>
      <c r="E321" s="13">
        <f>C321*D321</f>
        <v>0</v>
      </c>
      <c r="G321" s="14"/>
      <c r="H321" s="2"/>
      <c r="I321" s="3"/>
      <c r="J321" s="4"/>
      <c r="K321" s="13">
        <f>I321*J321</f>
        <v>0</v>
      </c>
    </row>
    <row r="322" spans="1:11" x14ac:dyDescent="0.25">
      <c r="A322" s="212" t="s">
        <v>63</v>
      </c>
      <c r="B322" s="213"/>
      <c r="C322" s="213"/>
      <c r="D322" s="213"/>
      <c r="E322" s="13"/>
      <c r="G322" s="212" t="s">
        <v>63</v>
      </c>
      <c r="H322" s="213"/>
      <c r="I322" s="213"/>
      <c r="J322" s="213"/>
      <c r="K322" s="13"/>
    </row>
    <row r="323" spans="1:11" x14ac:dyDescent="0.25">
      <c r="A323" s="14" t="s">
        <v>112</v>
      </c>
      <c r="B323" s="2" t="s">
        <v>69</v>
      </c>
      <c r="C323" s="5">
        <f>(C318+C319+C320+C321)/20</f>
        <v>0.25</v>
      </c>
      <c r="D323" s="4">
        <f>Salarios!$M$15</f>
        <v>0</v>
      </c>
      <c r="E323" s="13">
        <f>C323*D323</f>
        <v>0</v>
      </c>
      <c r="G323" s="14"/>
      <c r="H323" s="2"/>
      <c r="I323" s="5"/>
      <c r="J323" s="4"/>
      <c r="K323" s="13">
        <f>I323*J323</f>
        <v>0</v>
      </c>
    </row>
    <row r="324" spans="1:11" x14ac:dyDescent="0.25">
      <c r="A324" s="14" t="s">
        <v>58</v>
      </c>
      <c r="B324" s="2" t="s">
        <v>69</v>
      </c>
      <c r="C324" s="5">
        <f>(C318+C319+C320+C321)/60</f>
        <v>8.3333333333333329E-2</v>
      </c>
      <c r="D324" s="4">
        <f>Salarios!$M$26</f>
        <v>0</v>
      </c>
      <c r="E324" s="13">
        <f>C324*D324</f>
        <v>0</v>
      </c>
      <c r="G324" s="14"/>
      <c r="H324" s="2"/>
      <c r="I324" s="5"/>
      <c r="J324" s="4"/>
      <c r="K324" s="13">
        <f>I324*J324</f>
        <v>0</v>
      </c>
    </row>
    <row r="325" spans="1:11" x14ac:dyDescent="0.25">
      <c r="A325" s="205" t="s">
        <v>65</v>
      </c>
      <c r="B325" s="206"/>
      <c r="C325" s="206"/>
      <c r="D325" s="206"/>
      <c r="E325" s="13">
        <f>SUM(E318:E324)</f>
        <v>0</v>
      </c>
      <c r="G325" s="205" t="s">
        <v>65</v>
      </c>
      <c r="H325" s="206"/>
      <c r="I325" s="206"/>
      <c r="J325" s="206"/>
      <c r="K325" s="13">
        <f>SUM(K318:K324)</f>
        <v>0</v>
      </c>
    </row>
    <row r="326" spans="1:11" x14ac:dyDescent="0.25">
      <c r="A326" s="14" t="s">
        <v>66</v>
      </c>
      <c r="B326" s="2" t="s">
        <v>71</v>
      </c>
      <c r="C326" s="6">
        <v>0.04</v>
      </c>
      <c r="D326" s="4">
        <f>E325</f>
        <v>0</v>
      </c>
      <c r="E326" s="13">
        <f>C326*D326</f>
        <v>0</v>
      </c>
      <c r="G326" s="14" t="s">
        <v>66</v>
      </c>
      <c r="H326" s="2" t="s">
        <v>71</v>
      </c>
      <c r="I326" s="6">
        <v>0.04</v>
      </c>
      <c r="J326" s="4">
        <f>K325</f>
        <v>0</v>
      </c>
      <c r="K326" s="13">
        <f>I326*J326</f>
        <v>0</v>
      </c>
    </row>
    <row r="327" spans="1:11" ht="13.8" thickBot="1" x14ac:dyDescent="0.3">
      <c r="A327" s="207" t="s">
        <v>64</v>
      </c>
      <c r="B327" s="208"/>
      <c r="C327" s="208"/>
      <c r="D327" s="208"/>
      <c r="E327" s="15">
        <f>SUM(E325:E326)</f>
        <v>0</v>
      </c>
      <c r="G327" s="207" t="s">
        <v>64</v>
      </c>
      <c r="H327" s="208"/>
      <c r="I327" s="208"/>
      <c r="J327" s="208"/>
      <c r="K327" s="15">
        <f>SUM(K325:K326)</f>
        <v>0</v>
      </c>
    </row>
    <row r="329" spans="1:11" ht="13.8" thickBot="1" x14ac:dyDescent="0.3"/>
    <row r="330" spans="1:11" x14ac:dyDescent="0.25">
      <c r="A330" s="7" t="s">
        <v>121</v>
      </c>
      <c r="B330" s="8"/>
      <c r="C330" s="8"/>
      <c r="D330" s="8"/>
      <c r="E330" s="9"/>
      <c r="G330" s="214" t="s">
        <v>129</v>
      </c>
      <c r="H330" s="215"/>
      <c r="I330" s="215"/>
      <c r="J330" s="215"/>
      <c r="K330" s="216"/>
    </row>
    <row r="331" spans="1:11" x14ac:dyDescent="0.25">
      <c r="A331" s="10" t="s">
        <v>59</v>
      </c>
      <c r="B331" s="1" t="s">
        <v>60</v>
      </c>
      <c r="C331" s="1" t="s">
        <v>61</v>
      </c>
      <c r="D331" s="1" t="s">
        <v>10</v>
      </c>
      <c r="E331" s="11" t="s">
        <v>62</v>
      </c>
      <c r="G331" s="170" t="s">
        <v>59</v>
      </c>
      <c r="H331" s="171" t="s">
        <v>60</v>
      </c>
      <c r="I331" s="171" t="s">
        <v>61</v>
      </c>
      <c r="J331" s="171" t="s">
        <v>10</v>
      </c>
      <c r="K331" s="172" t="s">
        <v>62</v>
      </c>
    </row>
    <row r="332" spans="1:11" x14ac:dyDescent="0.25">
      <c r="A332" s="12" t="s">
        <v>79</v>
      </c>
      <c r="B332" s="2" t="s">
        <v>69</v>
      </c>
      <c r="C332" s="3">
        <v>1</v>
      </c>
      <c r="D332" s="4">
        <f>Salarios!$M$11</f>
        <v>0</v>
      </c>
      <c r="E332" s="13">
        <f>C332*D332</f>
        <v>0</v>
      </c>
      <c r="G332" s="173" t="s">
        <v>130</v>
      </c>
      <c r="H332" s="174" t="s">
        <v>69</v>
      </c>
      <c r="I332" s="175">
        <v>4</v>
      </c>
      <c r="J332" s="176">
        <f>Salarios!$M$39</f>
        <v>0</v>
      </c>
      <c r="K332" s="177">
        <f>I332*J332</f>
        <v>0</v>
      </c>
    </row>
    <row r="333" spans="1:11" x14ac:dyDescent="0.25">
      <c r="A333" s="14" t="s">
        <v>122</v>
      </c>
      <c r="B333" s="2" t="s">
        <v>69</v>
      </c>
      <c r="C333" s="3">
        <v>1</v>
      </c>
      <c r="D333" s="4">
        <f>Salarios!$M$38</f>
        <v>0</v>
      </c>
      <c r="E333" s="13">
        <f>C333*D333</f>
        <v>0</v>
      </c>
      <c r="G333" s="178" t="s">
        <v>131</v>
      </c>
      <c r="H333" s="174" t="s">
        <v>69</v>
      </c>
      <c r="I333" s="175">
        <v>2</v>
      </c>
      <c r="J333" s="176">
        <f>Salarios!$M$31</f>
        <v>0</v>
      </c>
      <c r="K333" s="177">
        <f>I333*J333</f>
        <v>0</v>
      </c>
    </row>
    <row r="334" spans="1:11" x14ac:dyDescent="0.25">
      <c r="A334" s="14"/>
      <c r="B334" s="2"/>
      <c r="C334" s="3"/>
      <c r="D334" s="4"/>
      <c r="E334" s="13">
        <f>C334*D334</f>
        <v>0</v>
      </c>
      <c r="G334" s="178"/>
      <c r="H334" s="174"/>
      <c r="I334" s="175"/>
      <c r="J334" s="176"/>
      <c r="K334" s="177">
        <f>I334*J334</f>
        <v>0</v>
      </c>
    </row>
    <row r="335" spans="1:11" x14ac:dyDescent="0.25">
      <c r="A335" s="14"/>
      <c r="B335" s="2"/>
      <c r="C335" s="3"/>
      <c r="D335" s="4"/>
      <c r="E335" s="13">
        <f>C335*D335</f>
        <v>0</v>
      </c>
      <c r="G335" s="178"/>
      <c r="H335" s="174"/>
      <c r="I335" s="175"/>
      <c r="J335" s="176"/>
      <c r="K335" s="177">
        <f>I335*J335</f>
        <v>0</v>
      </c>
    </row>
    <row r="336" spans="1:11" x14ac:dyDescent="0.25">
      <c r="A336" s="212" t="s">
        <v>63</v>
      </c>
      <c r="B336" s="213"/>
      <c r="C336" s="213"/>
      <c r="D336" s="213"/>
      <c r="E336" s="13"/>
      <c r="G336" s="221" t="s">
        <v>63</v>
      </c>
      <c r="H336" s="222"/>
      <c r="I336" s="222"/>
      <c r="J336" s="222"/>
      <c r="K336" s="177"/>
    </row>
    <row r="337" spans="1:11" x14ac:dyDescent="0.25">
      <c r="A337" s="14" t="s">
        <v>123</v>
      </c>
      <c r="B337" s="2" t="s">
        <v>69</v>
      </c>
      <c r="C337" s="5">
        <f>(C332+C333+C334+C335)/20</f>
        <v>0.1</v>
      </c>
      <c r="D337" s="4">
        <f>Salarios!$M$44</f>
        <v>0</v>
      </c>
      <c r="E337" s="13">
        <f>C337*D337</f>
        <v>0</v>
      </c>
      <c r="G337" s="178" t="s">
        <v>112</v>
      </c>
      <c r="H337" s="174" t="s">
        <v>69</v>
      </c>
      <c r="I337" s="179">
        <f>(I332+I333+I334+I335)/20</f>
        <v>0.3</v>
      </c>
      <c r="J337" s="176">
        <f>Salarios!$M$15</f>
        <v>0</v>
      </c>
      <c r="K337" s="177">
        <f>I337*J337</f>
        <v>0</v>
      </c>
    </row>
    <row r="338" spans="1:11" x14ac:dyDescent="0.25">
      <c r="A338" s="14" t="s">
        <v>58</v>
      </c>
      <c r="B338" s="2" t="s">
        <v>69</v>
      </c>
      <c r="C338" s="5">
        <f>(C332+C333+C334+C335)/60</f>
        <v>3.3333333333333333E-2</v>
      </c>
      <c r="D338" s="4">
        <f>Salarios!$M$26</f>
        <v>0</v>
      </c>
      <c r="E338" s="13">
        <f>C338*D338</f>
        <v>0</v>
      </c>
      <c r="G338" s="178" t="s">
        <v>58</v>
      </c>
      <c r="H338" s="174" t="s">
        <v>69</v>
      </c>
      <c r="I338" s="179">
        <f>(I332+I333+I334+I335)/60</f>
        <v>0.1</v>
      </c>
      <c r="J338" s="176">
        <f>Salarios!$M$26</f>
        <v>0</v>
      </c>
      <c r="K338" s="177">
        <f>I338*J338</f>
        <v>0</v>
      </c>
    </row>
    <row r="339" spans="1:11" x14ac:dyDescent="0.25">
      <c r="A339" s="205" t="s">
        <v>65</v>
      </c>
      <c r="B339" s="206"/>
      <c r="C339" s="206"/>
      <c r="D339" s="206"/>
      <c r="E339" s="13">
        <f>SUM(E332:E338)</f>
        <v>0</v>
      </c>
      <c r="G339" s="217" t="s">
        <v>65</v>
      </c>
      <c r="H339" s="218"/>
      <c r="I339" s="218"/>
      <c r="J339" s="218"/>
      <c r="K339" s="177">
        <f>SUM(K332:K338)</f>
        <v>0</v>
      </c>
    </row>
    <row r="340" spans="1:11" x14ac:dyDescent="0.25">
      <c r="A340" s="14" t="s">
        <v>66</v>
      </c>
      <c r="B340" s="2" t="s">
        <v>71</v>
      </c>
      <c r="C340" s="6">
        <v>0.04</v>
      </c>
      <c r="D340" s="4">
        <f>E339</f>
        <v>0</v>
      </c>
      <c r="E340" s="13">
        <f>C340*D340</f>
        <v>0</v>
      </c>
      <c r="G340" s="178" t="s">
        <v>66</v>
      </c>
      <c r="H340" s="174" t="s">
        <v>71</v>
      </c>
      <c r="I340" s="180">
        <v>0.04</v>
      </c>
      <c r="J340" s="176">
        <f>K339</f>
        <v>0</v>
      </c>
      <c r="K340" s="177">
        <f>I340*J340</f>
        <v>0</v>
      </c>
    </row>
    <row r="341" spans="1:11" ht="13.8" thickBot="1" x14ac:dyDescent="0.3">
      <c r="A341" s="207" t="s">
        <v>64</v>
      </c>
      <c r="B341" s="208"/>
      <c r="C341" s="208"/>
      <c r="D341" s="208"/>
      <c r="E341" s="15">
        <f>SUM(E339:E340)</f>
        <v>0</v>
      </c>
      <c r="G341" s="219" t="s">
        <v>64</v>
      </c>
      <c r="H341" s="220"/>
      <c r="I341" s="220"/>
      <c r="J341" s="220"/>
      <c r="K341" s="181">
        <f>SUM(K339:K340)</f>
        <v>0</v>
      </c>
    </row>
    <row r="343" spans="1:11" ht="13.8" thickBot="1" x14ac:dyDescent="0.3"/>
    <row r="344" spans="1:11" x14ac:dyDescent="0.25">
      <c r="A344" s="7" t="s">
        <v>124</v>
      </c>
      <c r="B344" s="8"/>
      <c r="C344" s="8"/>
      <c r="D344" s="8"/>
      <c r="E344" s="9"/>
      <c r="G344" s="209" t="s">
        <v>132</v>
      </c>
      <c r="H344" s="210"/>
      <c r="I344" s="210"/>
      <c r="J344" s="210"/>
      <c r="K344" s="211"/>
    </row>
    <row r="345" spans="1:11" x14ac:dyDescent="0.25">
      <c r="A345" s="10" t="s">
        <v>59</v>
      </c>
      <c r="B345" s="1" t="s">
        <v>60</v>
      </c>
      <c r="C345" s="1" t="s">
        <v>61</v>
      </c>
      <c r="D345" s="1" t="s">
        <v>10</v>
      </c>
      <c r="E345" s="11" t="s">
        <v>62</v>
      </c>
      <c r="G345" s="10" t="s">
        <v>59</v>
      </c>
      <c r="H345" s="1" t="s">
        <v>60</v>
      </c>
      <c r="I345" s="1" t="s">
        <v>61</v>
      </c>
      <c r="J345" s="1" t="s">
        <v>10</v>
      </c>
      <c r="K345" s="11" t="s">
        <v>62</v>
      </c>
    </row>
    <row r="346" spans="1:11" x14ac:dyDescent="0.25">
      <c r="A346" s="12" t="s">
        <v>82</v>
      </c>
      <c r="B346" s="2" t="s">
        <v>69</v>
      </c>
      <c r="C346" s="3">
        <v>1</v>
      </c>
      <c r="D346" s="4">
        <f>Salarios!$M$10</f>
        <v>0</v>
      </c>
      <c r="E346" s="13">
        <f>C346*D346</f>
        <v>0</v>
      </c>
      <c r="G346" s="14" t="s">
        <v>131</v>
      </c>
      <c r="H346" s="2" t="s">
        <v>69</v>
      </c>
      <c r="I346" s="3">
        <v>2</v>
      </c>
      <c r="J346" s="4">
        <f>Salarios!$M$31</f>
        <v>0</v>
      </c>
      <c r="K346" s="13">
        <f>I346*J346</f>
        <v>0</v>
      </c>
    </row>
    <row r="347" spans="1:11" x14ac:dyDescent="0.25">
      <c r="A347" s="14" t="s">
        <v>34</v>
      </c>
      <c r="B347" s="2" t="s">
        <v>69</v>
      </c>
      <c r="C347" s="3">
        <v>1</v>
      </c>
      <c r="D347" s="4">
        <f>Salarios!$M$37</f>
        <v>0</v>
      </c>
      <c r="E347" s="13">
        <f>C347*D347</f>
        <v>0</v>
      </c>
      <c r="G347" s="12" t="s">
        <v>11</v>
      </c>
      <c r="H347" s="2" t="s">
        <v>69</v>
      </c>
      <c r="I347" s="3">
        <v>9</v>
      </c>
      <c r="J347" s="4">
        <f>Salarios!$M$39</f>
        <v>0</v>
      </c>
      <c r="K347" s="13">
        <f>I347*J347</f>
        <v>0</v>
      </c>
    </row>
    <row r="348" spans="1:11" x14ac:dyDescent="0.25">
      <c r="A348" s="14"/>
      <c r="B348" s="2"/>
      <c r="C348" s="3"/>
      <c r="D348" s="4"/>
      <c r="E348" s="13">
        <f>C348*D348</f>
        <v>0</v>
      </c>
      <c r="G348" s="14"/>
      <c r="H348" s="2"/>
      <c r="I348" s="3"/>
      <c r="J348" s="4"/>
      <c r="K348" s="13">
        <f>I348*J348</f>
        <v>0</v>
      </c>
    </row>
    <row r="349" spans="1:11" x14ac:dyDescent="0.25">
      <c r="A349" s="14"/>
      <c r="B349" s="2"/>
      <c r="C349" s="3"/>
      <c r="D349" s="4"/>
      <c r="E349" s="13">
        <f>C349*D349</f>
        <v>0</v>
      </c>
      <c r="G349" s="14"/>
      <c r="H349" s="2"/>
      <c r="I349" s="3"/>
      <c r="J349" s="4"/>
      <c r="K349" s="13">
        <f>I349*J349</f>
        <v>0</v>
      </c>
    </row>
    <row r="350" spans="1:11" x14ac:dyDescent="0.25">
      <c r="A350" s="212" t="s">
        <v>63</v>
      </c>
      <c r="B350" s="213"/>
      <c r="C350" s="213"/>
      <c r="D350" s="213"/>
      <c r="E350" s="13"/>
      <c r="G350" s="212" t="s">
        <v>63</v>
      </c>
      <c r="H350" s="213"/>
      <c r="I350" s="213"/>
      <c r="J350" s="213"/>
      <c r="K350" s="13"/>
    </row>
    <row r="351" spans="1:11" x14ac:dyDescent="0.25">
      <c r="A351" s="14" t="s">
        <v>123</v>
      </c>
      <c r="B351" s="2" t="s">
        <v>69</v>
      </c>
      <c r="C351" s="5">
        <f>(C346+C347+C348+C349)/20</f>
        <v>0.1</v>
      </c>
      <c r="D351" s="4">
        <f>Salarios!$M$44</f>
        <v>0</v>
      </c>
      <c r="E351" s="13">
        <f>C351*D351</f>
        <v>0</v>
      </c>
      <c r="G351" s="14" t="s">
        <v>112</v>
      </c>
      <c r="H351" s="2" t="s">
        <v>69</v>
      </c>
      <c r="I351" s="5">
        <f>(I346+I347+I348+I349)/20</f>
        <v>0.55000000000000004</v>
      </c>
      <c r="J351" s="4">
        <f>Salarios!$M$15</f>
        <v>0</v>
      </c>
      <c r="K351" s="13">
        <f>I351*J351</f>
        <v>0</v>
      </c>
    </row>
    <row r="352" spans="1:11" x14ac:dyDescent="0.25">
      <c r="A352" s="14" t="s">
        <v>58</v>
      </c>
      <c r="B352" s="2" t="s">
        <v>69</v>
      </c>
      <c r="C352" s="5">
        <f>(C346+C347+C348+C349)/60</f>
        <v>3.3333333333333333E-2</v>
      </c>
      <c r="D352" s="4">
        <f>Salarios!$M$26</f>
        <v>0</v>
      </c>
      <c r="E352" s="13">
        <f>C352*D352</f>
        <v>0</v>
      </c>
      <c r="G352" s="14" t="s">
        <v>58</v>
      </c>
      <c r="H352" s="2" t="s">
        <v>69</v>
      </c>
      <c r="I352" s="5">
        <f>(I346+I347+I348+I349)/60</f>
        <v>0.18333333333333332</v>
      </c>
      <c r="J352" s="4">
        <f>Salarios!$M$26</f>
        <v>0</v>
      </c>
      <c r="K352" s="13">
        <f>I352*J352</f>
        <v>0</v>
      </c>
    </row>
    <row r="353" spans="1:11" x14ac:dyDescent="0.25">
      <c r="A353" s="205" t="s">
        <v>65</v>
      </c>
      <c r="B353" s="206"/>
      <c r="C353" s="206"/>
      <c r="D353" s="206"/>
      <c r="E353" s="13">
        <f>SUM(E346:E352)</f>
        <v>0</v>
      </c>
      <c r="G353" s="205" t="s">
        <v>65</v>
      </c>
      <c r="H353" s="206"/>
      <c r="I353" s="206"/>
      <c r="J353" s="206"/>
      <c r="K353" s="13">
        <f>SUM(K346:K352)</f>
        <v>0</v>
      </c>
    </row>
    <row r="354" spans="1:11" x14ac:dyDescent="0.25">
      <c r="A354" s="14" t="s">
        <v>66</v>
      </c>
      <c r="B354" s="2" t="s">
        <v>71</v>
      </c>
      <c r="C354" s="6">
        <v>0.04</v>
      </c>
      <c r="D354" s="4">
        <f>E353</f>
        <v>0</v>
      </c>
      <c r="E354" s="13">
        <f>C354*D354</f>
        <v>0</v>
      </c>
      <c r="G354" s="14" t="s">
        <v>66</v>
      </c>
      <c r="H354" s="2" t="s">
        <v>71</v>
      </c>
      <c r="I354" s="6">
        <v>0.04</v>
      </c>
      <c r="J354" s="4">
        <f>K353</f>
        <v>0</v>
      </c>
      <c r="K354" s="13">
        <f>I354*J354</f>
        <v>0</v>
      </c>
    </row>
    <row r="355" spans="1:11" ht="13.8" thickBot="1" x14ac:dyDescent="0.3">
      <c r="A355" s="207" t="s">
        <v>64</v>
      </c>
      <c r="B355" s="208"/>
      <c r="C355" s="208"/>
      <c r="D355" s="208"/>
      <c r="E355" s="15">
        <f>SUM(E353:E354)</f>
        <v>0</v>
      </c>
      <c r="G355" s="207" t="s">
        <v>64</v>
      </c>
      <c r="H355" s="208"/>
      <c r="I355" s="208"/>
      <c r="J355" s="208"/>
      <c r="K355" s="15">
        <f>SUM(K353:K354)</f>
        <v>0</v>
      </c>
    </row>
    <row r="357" spans="1:11" ht="13.8" thickBot="1" x14ac:dyDescent="0.3"/>
    <row r="358" spans="1:11" x14ac:dyDescent="0.25">
      <c r="A358" s="209" t="s">
        <v>133</v>
      </c>
      <c r="B358" s="210"/>
      <c r="C358" s="210"/>
      <c r="D358" s="210"/>
      <c r="E358" s="211"/>
      <c r="G358" s="209" t="s">
        <v>139</v>
      </c>
      <c r="H358" s="210"/>
      <c r="I358" s="210"/>
      <c r="J358" s="210"/>
      <c r="K358" s="211"/>
    </row>
    <row r="359" spans="1:11" x14ac:dyDescent="0.25">
      <c r="A359" s="10" t="s">
        <v>59</v>
      </c>
      <c r="B359" s="1" t="s">
        <v>60</v>
      </c>
      <c r="C359" s="1" t="s">
        <v>61</v>
      </c>
      <c r="D359" s="1" t="s">
        <v>10</v>
      </c>
      <c r="E359" s="11" t="s">
        <v>62</v>
      </c>
      <c r="G359" s="10" t="s">
        <v>59</v>
      </c>
      <c r="H359" s="1" t="s">
        <v>60</v>
      </c>
      <c r="I359" s="1" t="s">
        <v>61</v>
      </c>
      <c r="J359" s="1" t="s">
        <v>10</v>
      </c>
      <c r="K359" s="11" t="s">
        <v>62</v>
      </c>
    </row>
    <row r="360" spans="1:11" x14ac:dyDescent="0.25">
      <c r="A360" s="14" t="s">
        <v>131</v>
      </c>
      <c r="B360" s="2" t="s">
        <v>69</v>
      </c>
      <c r="C360" s="3">
        <v>2</v>
      </c>
      <c r="D360" s="4">
        <f>Salarios!$M$31</f>
        <v>0</v>
      </c>
      <c r="E360" s="13">
        <f>C360*D360</f>
        <v>0</v>
      </c>
      <c r="G360" s="12" t="s">
        <v>11</v>
      </c>
      <c r="H360" s="2" t="s">
        <v>69</v>
      </c>
      <c r="I360" s="3">
        <v>9</v>
      </c>
      <c r="J360" s="4">
        <f>Salarios!$M$39</f>
        <v>0</v>
      </c>
      <c r="K360" s="13">
        <f>I360*J360</f>
        <v>0</v>
      </c>
    </row>
    <row r="361" spans="1:11" x14ac:dyDescent="0.25">
      <c r="A361" s="12" t="s">
        <v>11</v>
      </c>
      <c r="B361" s="2" t="s">
        <v>69</v>
      </c>
      <c r="C361" s="3">
        <v>5</v>
      </c>
      <c r="D361" s="4">
        <f>Salarios!$M$39</f>
        <v>0</v>
      </c>
      <c r="E361" s="13">
        <f>C361*D361</f>
        <v>0</v>
      </c>
      <c r="G361" s="14"/>
      <c r="H361" s="2"/>
      <c r="I361" s="3"/>
      <c r="J361" s="4"/>
      <c r="K361" s="13">
        <f>I361*J361</f>
        <v>0</v>
      </c>
    </row>
    <row r="362" spans="1:11" x14ac:dyDescent="0.25">
      <c r="A362" s="14"/>
      <c r="B362" s="2"/>
      <c r="C362" s="3"/>
      <c r="D362" s="4"/>
      <c r="E362" s="13">
        <f>C362*D362</f>
        <v>0</v>
      </c>
      <c r="G362" s="14"/>
      <c r="H362" s="2"/>
      <c r="I362" s="3"/>
      <c r="J362" s="4"/>
      <c r="K362" s="13">
        <f>I362*J362</f>
        <v>0</v>
      </c>
    </row>
    <row r="363" spans="1:11" x14ac:dyDescent="0.25">
      <c r="A363" s="14"/>
      <c r="B363" s="2"/>
      <c r="C363" s="3"/>
      <c r="D363" s="4"/>
      <c r="E363" s="13">
        <f>C363*D363</f>
        <v>0</v>
      </c>
      <c r="G363" s="14"/>
      <c r="H363" s="2"/>
      <c r="I363" s="3"/>
      <c r="J363" s="4"/>
      <c r="K363" s="13">
        <f>I363*J363</f>
        <v>0</v>
      </c>
    </row>
    <row r="364" spans="1:11" x14ac:dyDescent="0.25">
      <c r="A364" s="212" t="s">
        <v>63</v>
      </c>
      <c r="B364" s="213"/>
      <c r="C364" s="213"/>
      <c r="D364" s="213"/>
      <c r="E364" s="13"/>
      <c r="G364" s="212" t="s">
        <v>63</v>
      </c>
      <c r="H364" s="213"/>
      <c r="I364" s="213"/>
      <c r="J364" s="213"/>
      <c r="K364" s="13"/>
    </row>
    <row r="365" spans="1:11" x14ac:dyDescent="0.25">
      <c r="A365" s="14" t="s">
        <v>112</v>
      </c>
      <c r="B365" s="2" t="s">
        <v>69</v>
      </c>
      <c r="C365" s="5">
        <f>(C360+C361+C362+C363)/20</f>
        <v>0.35</v>
      </c>
      <c r="D365" s="4">
        <f>Salarios!$M$15</f>
        <v>0</v>
      </c>
      <c r="E365" s="13">
        <f>C365*D365</f>
        <v>0</v>
      </c>
      <c r="G365" s="14" t="s">
        <v>70</v>
      </c>
      <c r="H365" s="2" t="s">
        <v>69</v>
      </c>
      <c r="I365" s="5">
        <f>(I360+I361+I362+I363)/20</f>
        <v>0.45</v>
      </c>
      <c r="J365" s="4">
        <f>Salarios!$M$16</f>
        <v>0</v>
      </c>
      <c r="K365" s="13">
        <f>I365*J365</f>
        <v>0</v>
      </c>
    </row>
    <row r="366" spans="1:11" x14ac:dyDescent="0.25">
      <c r="A366" s="14" t="s">
        <v>58</v>
      </c>
      <c r="B366" s="2" t="s">
        <v>69</v>
      </c>
      <c r="C366" s="5">
        <f>(C360+C361+C362+C363)/60</f>
        <v>0.11666666666666667</v>
      </c>
      <c r="D366" s="4">
        <f>Salarios!$M$26</f>
        <v>0</v>
      </c>
      <c r="E366" s="13">
        <f>C366*D366</f>
        <v>0</v>
      </c>
      <c r="G366" s="14" t="s">
        <v>58</v>
      </c>
      <c r="H366" s="2" t="s">
        <v>69</v>
      </c>
      <c r="I366" s="5">
        <f>(I360+I361+I362+I363)/60</f>
        <v>0.15</v>
      </c>
      <c r="J366" s="4">
        <f>Salarios!$M$26</f>
        <v>0</v>
      </c>
      <c r="K366" s="13">
        <f>I366*J366</f>
        <v>0</v>
      </c>
    </row>
    <row r="367" spans="1:11" x14ac:dyDescent="0.25">
      <c r="A367" s="205" t="s">
        <v>65</v>
      </c>
      <c r="B367" s="206"/>
      <c r="C367" s="206"/>
      <c r="D367" s="206"/>
      <c r="E367" s="13">
        <f>SUM(E360:E366)</f>
        <v>0</v>
      </c>
      <c r="G367" s="205" t="s">
        <v>65</v>
      </c>
      <c r="H367" s="206"/>
      <c r="I367" s="206"/>
      <c r="J367" s="206"/>
      <c r="K367" s="13">
        <f>SUM(K360:K366)</f>
        <v>0</v>
      </c>
    </row>
    <row r="368" spans="1:11" x14ac:dyDescent="0.25">
      <c r="A368" s="14" t="s">
        <v>66</v>
      </c>
      <c r="B368" s="2" t="s">
        <v>71</v>
      </c>
      <c r="C368" s="6">
        <v>0.04</v>
      </c>
      <c r="D368" s="4">
        <f>E367</f>
        <v>0</v>
      </c>
      <c r="E368" s="13">
        <f>C368*D368</f>
        <v>0</v>
      </c>
      <c r="G368" s="14" t="s">
        <v>66</v>
      </c>
      <c r="H368" s="2" t="s">
        <v>71</v>
      </c>
      <c r="I368" s="6">
        <v>0.04</v>
      </c>
      <c r="J368" s="4">
        <f>K367</f>
        <v>0</v>
      </c>
      <c r="K368" s="13">
        <f>I368*J368</f>
        <v>0</v>
      </c>
    </row>
    <row r="369" spans="1:11" ht="13.8" thickBot="1" x14ac:dyDescent="0.3">
      <c r="A369" s="207" t="s">
        <v>64</v>
      </c>
      <c r="B369" s="208"/>
      <c r="C369" s="208"/>
      <c r="D369" s="208"/>
      <c r="E369" s="15">
        <f>SUM(E367:E368)</f>
        <v>0</v>
      </c>
      <c r="G369" s="207" t="s">
        <v>64</v>
      </c>
      <c r="H369" s="208"/>
      <c r="I369" s="208"/>
      <c r="J369" s="208"/>
      <c r="K369" s="15">
        <f>SUM(K367:K368)</f>
        <v>0</v>
      </c>
    </row>
    <row r="371" spans="1:11" ht="13.8" thickBot="1" x14ac:dyDescent="0.3"/>
    <row r="372" spans="1:11" x14ac:dyDescent="0.25">
      <c r="A372" s="209" t="s">
        <v>134</v>
      </c>
      <c r="B372" s="210"/>
      <c r="C372" s="210"/>
      <c r="D372" s="210"/>
      <c r="E372" s="211"/>
      <c r="G372" s="209" t="s">
        <v>140</v>
      </c>
      <c r="H372" s="210"/>
      <c r="I372" s="210"/>
      <c r="J372" s="210"/>
      <c r="K372" s="211"/>
    </row>
    <row r="373" spans="1:11" x14ac:dyDescent="0.25">
      <c r="A373" s="10" t="s">
        <v>59</v>
      </c>
      <c r="B373" s="1" t="s">
        <v>60</v>
      </c>
      <c r="C373" s="1" t="s">
        <v>61</v>
      </c>
      <c r="D373" s="1" t="s">
        <v>10</v>
      </c>
      <c r="E373" s="11" t="s">
        <v>62</v>
      </c>
      <c r="G373" s="10" t="s">
        <v>59</v>
      </c>
      <c r="H373" s="1" t="s">
        <v>60</v>
      </c>
      <c r="I373" s="1" t="s">
        <v>61</v>
      </c>
      <c r="J373" s="1" t="s">
        <v>10</v>
      </c>
      <c r="K373" s="11" t="s">
        <v>62</v>
      </c>
    </row>
    <row r="374" spans="1:11" x14ac:dyDescent="0.25">
      <c r="A374" s="14" t="s">
        <v>131</v>
      </c>
      <c r="B374" s="2" t="s">
        <v>69</v>
      </c>
      <c r="C374" s="3">
        <v>2</v>
      </c>
      <c r="D374" s="4">
        <f>Salarios!$M$31</f>
        <v>0</v>
      </c>
      <c r="E374" s="13">
        <f>C374*D374</f>
        <v>0</v>
      </c>
      <c r="G374" s="12" t="s">
        <v>82</v>
      </c>
      <c r="H374" s="2" t="s">
        <v>69</v>
      </c>
      <c r="I374" s="3">
        <v>1</v>
      </c>
      <c r="J374" s="4">
        <f>Salarios!$M$10</f>
        <v>0</v>
      </c>
      <c r="K374" s="13">
        <f>I374*J374</f>
        <v>0</v>
      </c>
    </row>
    <row r="375" spans="1:11" x14ac:dyDescent="0.25">
      <c r="A375" s="12" t="s">
        <v>11</v>
      </c>
      <c r="B375" s="2" t="s">
        <v>69</v>
      </c>
      <c r="C375" s="3">
        <v>10</v>
      </c>
      <c r="D375" s="4">
        <f>Salarios!$M$39</f>
        <v>0</v>
      </c>
      <c r="E375" s="13">
        <f>C375*D375</f>
        <v>0</v>
      </c>
      <c r="G375" s="14" t="s">
        <v>41</v>
      </c>
      <c r="H375" s="2" t="s">
        <v>69</v>
      </c>
      <c r="I375" s="3">
        <v>1</v>
      </c>
      <c r="J375" s="4">
        <f>Salarios!$M$42</f>
        <v>0</v>
      </c>
      <c r="K375" s="13">
        <f>I375*J375</f>
        <v>0</v>
      </c>
    </row>
    <row r="376" spans="1:11" x14ac:dyDescent="0.25">
      <c r="A376" s="14"/>
      <c r="B376" s="2"/>
      <c r="C376" s="3"/>
      <c r="D376" s="4"/>
      <c r="E376" s="13">
        <f>C376*D376</f>
        <v>0</v>
      </c>
      <c r="G376" s="14"/>
      <c r="H376" s="2"/>
      <c r="I376" s="3"/>
      <c r="J376" s="4"/>
      <c r="K376" s="13">
        <f>I376*J376</f>
        <v>0</v>
      </c>
    </row>
    <row r="377" spans="1:11" x14ac:dyDescent="0.25">
      <c r="A377" s="14"/>
      <c r="B377" s="2"/>
      <c r="C377" s="3"/>
      <c r="D377" s="4"/>
      <c r="E377" s="13">
        <f>C377*D377</f>
        <v>0</v>
      </c>
      <c r="G377" s="14"/>
      <c r="H377" s="2"/>
      <c r="I377" s="3"/>
      <c r="J377" s="4"/>
      <c r="K377" s="13">
        <f>I377*J377</f>
        <v>0</v>
      </c>
    </row>
    <row r="378" spans="1:11" x14ac:dyDescent="0.25">
      <c r="A378" s="212" t="s">
        <v>63</v>
      </c>
      <c r="B378" s="213"/>
      <c r="C378" s="213"/>
      <c r="D378" s="213"/>
      <c r="E378" s="13"/>
      <c r="G378" s="212" t="s">
        <v>63</v>
      </c>
      <c r="H378" s="213"/>
      <c r="I378" s="213"/>
      <c r="J378" s="213"/>
      <c r="K378" s="13"/>
    </row>
    <row r="379" spans="1:11" x14ac:dyDescent="0.25">
      <c r="A379" s="14" t="s">
        <v>112</v>
      </c>
      <c r="B379" s="2" t="s">
        <v>69</v>
      </c>
      <c r="C379" s="5">
        <f>(C374+C375+C376+C377)/20</f>
        <v>0.6</v>
      </c>
      <c r="D379" s="4">
        <f>Salarios!$M$15</f>
        <v>0</v>
      </c>
      <c r="E379" s="13">
        <f>C379*D379</f>
        <v>0</v>
      </c>
      <c r="G379" s="14" t="s">
        <v>112</v>
      </c>
      <c r="H379" s="2" t="s">
        <v>69</v>
      </c>
      <c r="I379" s="5">
        <f>(I374+I375+I376+I377)/20</f>
        <v>0.1</v>
      </c>
      <c r="J379" s="4">
        <f>Salarios!$M$15</f>
        <v>0</v>
      </c>
      <c r="K379" s="13">
        <f>I379*J379</f>
        <v>0</v>
      </c>
    </row>
    <row r="380" spans="1:11" x14ac:dyDescent="0.25">
      <c r="A380" s="14" t="s">
        <v>58</v>
      </c>
      <c r="B380" s="2" t="s">
        <v>69</v>
      </c>
      <c r="C380" s="5">
        <f>(C374+C375+C376+C377)/60</f>
        <v>0.2</v>
      </c>
      <c r="D380" s="4">
        <f>Salarios!$M$26</f>
        <v>0</v>
      </c>
      <c r="E380" s="13">
        <f>C380*D380</f>
        <v>0</v>
      </c>
      <c r="G380" s="14" t="s">
        <v>58</v>
      </c>
      <c r="H380" s="2" t="s">
        <v>69</v>
      </c>
      <c r="I380" s="5">
        <f>(I374+I375+I376+I377)/60</f>
        <v>3.3333333333333333E-2</v>
      </c>
      <c r="J380" s="4">
        <f>Salarios!$M$26</f>
        <v>0</v>
      </c>
      <c r="K380" s="13">
        <f>I380*J380</f>
        <v>0</v>
      </c>
    </row>
    <row r="381" spans="1:11" x14ac:dyDescent="0.25">
      <c r="A381" s="205" t="s">
        <v>65</v>
      </c>
      <c r="B381" s="206"/>
      <c r="C381" s="206"/>
      <c r="D381" s="206"/>
      <c r="E381" s="13">
        <f>SUM(E374:E380)</f>
        <v>0</v>
      </c>
      <c r="G381" s="205" t="s">
        <v>65</v>
      </c>
      <c r="H381" s="206"/>
      <c r="I381" s="206"/>
      <c r="J381" s="206"/>
      <c r="K381" s="13">
        <f>SUM(K374:K380)</f>
        <v>0</v>
      </c>
    </row>
    <row r="382" spans="1:11" x14ac:dyDescent="0.25">
      <c r="A382" s="14" t="s">
        <v>66</v>
      </c>
      <c r="B382" s="2" t="s">
        <v>71</v>
      </c>
      <c r="C382" s="6">
        <v>0.04</v>
      </c>
      <c r="D382" s="4">
        <f>E381</f>
        <v>0</v>
      </c>
      <c r="E382" s="13">
        <f>C382*D382</f>
        <v>0</v>
      </c>
      <c r="G382" s="14" t="s">
        <v>66</v>
      </c>
      <c r="H382" s="2" t="s">
        <v>71</v>
      </c>
      <c r="I382" s="6">
        <v>0.04</v>
      </c>
      <c r="J382" s="4">
        <f>K381</f>
        <v>0</v>
      </c>
      <c r="K382" s="13">
        <f>I382*J382</f>
        <v>0</v>
      </c>
    </row>
    <row r="383" spans="1:11" ht="13.8" thickBot="1" x14ac:dyDescent="0.3">
      <c r="A383" s="207" t="s">
        <v>64</v>
      </c>
      <c r="B383" s="208"/>
      <c r="C383" s="208"/>
      <c r="D383" s="208"/>
      <c r="E383" s="15">
        <f>SUM(E381:E382)</f>
        <v>0</v>
      </c>
      <c r="G383" s="207" t="s">
        <v>64</v>
      </c>
      <c r="H383" s="208"/>
      <c r="I383" s="208"/>
      <c r="J383" s="208"/>
      <c r="K383" s="15">
        <f>SUM(K381:K382)</f>
        <v>0</v>
      </c>
    </row>
    <row r="385" spans="1:11" ht="13.8" thickBot="1" x14ac:dyDescent="0.3"/>
    <row r="386" spans="1:11" x14ac:dyDescent="0.25">
      <c r="A386" s="209" t="s">
        <v>135</v>
      </c>
      <c r="B386" s="210"/>
      <c r="C386" s="210"/>
      <c r="D386" s="210"/>
      <c r="E386" s="211"/>
      <c r="G386" s="209" t="s">
        <v>141</v>
      </c>
      <c r="H386" s="210"/>
      <c r="I386" s="210"/>
      <c r="J386" s="210"/>
      <c r="K386" s="211"/>
    </row>
    <row r="387" spans="1:11" x14ac:dyDescent="0.25">
      <c r="A387" s="10" t="s">
        <v>59</v>
      </c>
      <c r="B387" s="1" t="s">
        <v>60</v>
      </c>
      <c r="C387" s="1" t="s">
        <v>61</v>
      </c>
      <c r="D387" s="1" t="s">
        <v>10</v>
      </c>
      <c r="E387" s="11" t="s">
        <v>62</v>
      </c>
      <c r="G387" s="10" t="s">
        <v>59</v>
      </c>
      <c r="H387" s="1" t="s">
        <v>60</v>
      </c>
      <c r="I387" s="1" t="s">
        <v>61</v>
      </c>
      <c r="J387" s="1" t="s">
        <v>10</v>
      </c>
      <c r="K387" s="11" t="s">
        <v>62</v>
      </c>
    </row>
    <row r="388" spans="1:11" x14ac:dyDescent="0.25">
      <c r="A388" s="14" t="s">
        <v>27</v>
      </c>
      <c r="B388" s="2" t="s">
        <v>69</v>
      </c>
      <c r="C388" s="3">
        <v>1</v>
      </c>
      <c r="D388" s="4">
        <f>Salarios!$M$41</f>
        <v>0</v>
      </c>
      <c r="E388" s="13">
        <f>C388*D388</f>
        <v>0</v>
      </c>
      <c r="G388" s="12" t="s">
        <v>79</v>
      </c>
      <c r="H388" s="2" t="s">
        <v>69</v>
      </c>
      <c r="I388" s="3">
        <v>1</v>
      </c>
      <c r="J388" s="4">
        <f>Salarios!$M$11</f>
        <v>0</v>
      </c>
      <c r="K388" s="13">
        <f>I388*J388</f>
        <v>0</v>
      </c>
    </row>
    <row r="389" spans="1:11" x14ac:dyDescent="0.25">
      <c r="A389" s="12" t="s">
        <v>11</v>
      </c>
      <c r="B389" s="2" t="s">
        <v>69</v>
      </c>
      <c r="C389" s="3">
        <v>1</v>
      </c>
      <c r="D389" s="4">
        <f>Salarios!$M$39</f>
        <v>0</v>
      </c>
      <c r="E389" s="13">
        <f>C389*D389</f>
        <v>0</v>
      </c>
      <c r="G389" s="12" t="s">
        <v>85</v>
      </c>
      <c r="H389" s="2" t="s">
        <v>69</v>
      </c>
      <c r="I389" s="3">
        <v>1</v>
      </c>
      <c r="J389" s="4">
        <f>Salarios!$M$31</f>
        <v>0</v>
      </c>
      <c r="K389" s="13">
        <f>I389*J389</f>
        <v>0</v>
      </c>
    </row>
    <row r="390" spans="1:11" x14ac:dyDescent="0.25">
      <c r="A390" s="12" t="s">
        <v>79</v>
      </c>
      <c r="B390" s="2" t="s">
        <v>69</v>
      </c>
      <c r="C390" s="3">
        <v>1</v>
      </c>
      <c r="D390" s="4">
        <f>Salarios!$M$11</f>
        <v>0</v>
      </c>
      <c r="E390" s="13">
        <f>C390*D390</f>
        <v>0</v>
      </c>
      <c r="G390" s="14" t="s">
        <v>11</v>
      </c>
      <c r="H390" s="2" t="s">
        <v>69</v>
      </c>
      <c r="I390" s="3">
        <v>7</v>
      </c>
      <c r="J390" s="4">
        <f>Salarios!$M$39</f>
        <v>0</v>
      </c>
      <c r="K390" s="13">
        <f>I390*J390</f>
        <v>0</v>
      </c>
    </row>
    <row r="391" spans="1:11" x14ac:dyDescent="0.25">
      <c r="A391" s="14"/>
      <c r="B391" s="2"/>
      <c r="C391" s="3"/>
      <c r="D391" s="4"/>
      <c r="E391" s="13">
        <f>C391*D391</f>
        <v>0</v>
      </c>
      <c r="G391" s="14"/>
      <c r="H391" s="2"/>
      <c r="I391" s="3"/>
      <c r="J391" s="4"/>
      <c r="K391" s="13">
        <f>I391*J391</f>
        <v>0</v>
      </c>
    </row>
    <row r="392" spans="1:11" x14ac:dyDescent="0.25">
      <c r="A392" s="212" t="s">
        <v>63</v>
      </c>
      <c r="B392" s="213"/>
      <c r="C392" s="213"/>
      <c r="D392" s="213"/>
      <c r="E392" s="13"/>
      <c r="G392" s="212" t="s">
        <v>63</v>
      </c>
      <c r="H392" s="213"/>
      <c r="I392" s="213"/>
      <c r="J392" s="213"/>
      <c r="K392" s="13"/>
    </row>
    <row r="393" spans="1:11" x14ac:dyDescent="0.25">
      <c r="A393" s="14" t="s">
        <v>112</v>
      </c>
      <c r="B393" s="2" t="s">
        <v>69</v>
      </c>
      <c r="C393" s="5">
        <f>(C388+C389+C390+C391)/20</f>
        <v>0.15</v>
      </c>
      <c r="D393" s="4">
        <f>Salarios!$M$15</f>
        <v>0</v>
      </c>
      <c r="E393" s="13">
        <f>C393*D393</f>
        <v>0</v>
      </c>
      <c r="G393" s="14" t="s">
        <v>112</v>
      </c>
      <c r="H393" s="2" t="s">
        <v>69</v>
      </c>
      <c r="I393" s="5">
        <f>(I388+I389+I390+I391)/20</f>
        <v>0.45</v>
      </c>
      <c r="J393" s="4">
        <f>Salarios!$M$15</f>
        <v>0</v>
      </c>
      <c r="K393" s="13">
        <f>I393*J393</f>
        <v>0</v>
      </c>
    </row>
    <row r="394" spans="1:11" x14ac:dyDescent="0.25">
      <c r="A394" s="14" t="s">
        <v>58</v>
      </c>
      <c r="B394" s="2" t="s">
        <v>69</v>
      </c>
      <c r="C394" s="5">
        <f>(C388+C389+C390+C391)/60</f>
        <v>0.05</v>
      </c>
      <c r="D394" s="4">
        <f>Salarios!$M$26</f>
        <v>0</v>
      </c>
      <c r="E394" s="13">
        <f>C394*D394</f>
        <v>0</v>
      </c>
      <c r="G394" s="14" t="s">
        <v>58</v>
      </c>
      <c r="H394" s="2" t="s">
        <v>69</v>
      </c>
      <c r="I394" s="5">
        <f>(I388+I389+I390+I391)/60</f>
        <v>0.15</v>
      </c>
      <c r="J394" s="4">
        <f>Salarios!$M$26</f>
        <v>0</v>
      </c>
      <c r="K394" s="13">
        <f>I394*J394</f>
        <v>0</v>
      </c>
    </row>
    <row r="395" spans="1:11" x14ac:dyDescent="0.25">
      <c r="A395" s="205" t="s">
        <v>65</v>
      </c>
      <c r="B395" s="206"/>
      <c r="C395" s="206"/>
      <c r="D395" s="206"/>
      <c r="E395" s="13">
        <f>SUM(E388:E394)</f>
        <v>0</v>
      </c>
      <c r="G395" s="205" t="s">
        <v>65</v>
      </c>
      <c r="H395" s="206"/>
      <c r="I395" s="206"/>
      <c r="J395" s="206"/>
      <c r="K395" s="13">
        <f>SUM(K388:K394)</f>
        <v>0</v>
      </c>
    </row>
    <row r="396" spans="1:11" x14ac:dyDescent="0.25">
      <c r="A396" s="14" t="s">
        <v>66</v>
      </c>
      <c r="B396" s="2" t="s">
        <v>71</v>
      </c>
      <c r="C396" s="6">
        <v>0.04</v>
      </c>
      <c r="D396" s="4">
        <f>E395</f>
        <v>0</v>
      </c>
      <c r="E396" s="13">
        <f>C396*D396</f>
        <v>0</v>
      </c>
      <c r="G396" s="14" t="s">
        <v>66</v>
      </c>
      <c r="H396" s="2" t="s">
        <v>71</v>
      </c>
      <c r="I396" s="6">
        <v>0.04</v>
      </c>
      <c r="J396" s="4">
        <f>K395</f>
        <v>0</v>
      </c>
      <c r="K396" s="13">
        <f>I396*J396</f>
        <v>0</v>
      </c>
    </row>
    <row r="397" spans="1:11" ht="13.8" thickBot="1" x14ac:dyDescent="0.3">
      <c r="A397" s="207" t="s">
        <v>64</v>
      </c>
      <c r="B397" s="208"/>
      <c r="C397" s="208"/>
      <c r="D397" s="208"/>
      <c r="E397" s="15">
        <f>SUM(E395:E396)</f>
        <v>0</v>
      </c>
      <c r="G397" s="207" t="s">
        <v>64</v>
      </c>
      <c r="H397" s="208"/>
      <c r="I397" s="208"/>
      <c r="J397" s="208"/>
      <c r="K397" s="15">
        <f>SUM(K395:K396)</f>
        <v>0</v>
      </c>
    </row>
    <row r="399" spans="1:11" ht="13.8" thickBot="1" x14ac:dyDescent="0.3"/>
    <row r="400" spans="1:11" x14ac:dyDescent="0.25">
      <c r="A400" s="209" t="s">
        <v>136</v>
      </c>
      <c r="B400" s="210"/>
      <c r="C400" s="210"/>
      <c r="D400" s="210"/>
      <c r="E400" s="211"/>
      <c r="G400" s="209" t="s">
        <v>142</v>
      </c>
      <c r="H400" s="210"/>
      <c r="I400" s="210"/>
      <c r="J400" s="210"/>
      <c r="K400" s="211"/>
    </row>
    <row r="401" spans="1:11" x14ac:dyDescent="0.25">
      <c r="A401" s="10" t="s">
        <v>59</v>
      </c>
      <c r="B401" s="1" t="s">
        <v>60</v>
      </c>
      <c r="C401" s="1" t="s">
        <v>61</v>
      </c>
      <c r="D401" s="1" t="s">
        <v>10</v>
      </c>
      <c r="E401" s="11" t="s">
        <v>62</v>
      </c>
      <c r="G401" s="10" t="s">
        <v>59</v>
      </c>
      <c r="H401" s="1" t="s">
        <v>60</v>
      </c>
      <c r="I401" s="1" t="s">
        <v>61</v>
      </c>
      <c r="J401" s="1" t="s">
        <v>10</v>
      </c>
      <c r="K401" s="11" t="s">
        <v>62</v>
      </c>
    </row>
    <row r="402" spans="1:11" x14ac:dyDescent="0.25">
      <c r="A402" s="12" t="s">
        <v>79</v>
      </c>
      <c r="B402" s="2" t="s">
        <v>69</v>
      </c>
      <c r="C402" s="3">
        <v>1</v>
      </c>
      <c r="D402" s="4">
        <f>Salarios!$M$11</f>
        <v>0</v>
      </c>
      <c r="E402" s="13">
        <f>C402*D402</f>
        <v>0</v>
      </c>
      <c r="G402" s="12" t="s">
        <v>79</v>
      </c>
      <c r="H402" s="2" t="s">
        <v>69</v>
      </c>
      <c r="I402" s="3">
        <v>1</v>
      </c>
      <c r="J402" s="4">
        <f>Salarios!$M$11</f>
        <v>0</v>
      </c>
      <c r="K402" s="13">
        <f>I402*J402</f>
        <v>0</v>
      </c>
    </row>
    <row r="403" spans="1:11" x14ac:dyDescent="0.25">
      <c r="A403" s="14" t="s">
        <v>137</v>
      </c>
      <c r="B403" s="2" t="s">
        <v>69</v>
      </c>
      <c r="C403" s="3">
        <v>1</v>
      </c>
      <c r="D403" s="4">
        <f>Salarios!$M$32</f>
        <v>0</v>
      </c>
      <c r="E403" s="13">
        <f>C403*D403</f>
        <v>0</v>
      </c>
      <c r="G403" s="12" t="s">
        <v>85</v>
      </c>
      <c r="H403" s="2" t="s">
        <v>69</v>
      </c>
      <c r="I403" s="3">
        <v>1</v>
      </c>
      <c r="J403" s="4">
        <f>Salarios!$M$31</f>
        <v>0</v>
      </c>
      <c r="K403" s="13">
        <f>I403*J403</f>
        <v>0</v>
      </c>
    </row>
    <row r="404" spans="1:11" x14ac:dyDescent="0.25">
      <c r="A404" s="14" t="s">
        <v>11</v>
      </c>
      <c r="B404" s="2" t="s">
        <v>69</v>
      </c>
      <c r="C404" s="3">
        <v>1</v>
      </c>
      <c r="D404" s="4">
        <f>Salarios!$M$39</f>
        <v>0</v>
      </c>
      <c r="E404" s="13">
        <f>C404*D404</f>
        <v>0</v>
      </c>
      <c r="G404" s="14" t="s">
        <v>11</v>
      </c>
      <c r="H404" s="2" t="s">
        <v>69</v>
      </c>
      <c r="I404" s="3">
        <v>3</v>
      </c>
      <c r="J404" s="4">
        <f>Salarios!$M$39</f>
        <v>0</v>
      </c>
      <c r="K404" s="13">
        <f>I404*J404</f>
        <v>0</v>
      </c>
    </row>
    <row r="405" spans="1:11" x14ac:dyDescent="0.25">
      <c r="A405" s="14"/>
      <c r="B405" s="2"/>
      <c r="C405" s="3"/>
      <c r="D405" s="4"/>
      <c r="E405" s="13">
        <f>C405*D405</f>
        <v>0</v>
      </c>
      <c r="G405" s="14"/>
      <c r="H405" s="2"/>
      <c r="I405" s="3"/>
      <c r="J405" s="4"/>
      <c r="K405" s="13">
        <f>I405*J405</f>
        <v>0</v>
      </c>
    </row>
    <row r="406" spans="1:11" x14ac:dyDescent="0.25">
      <c r="A406" s="212" t="s">
        <v>63</v>
      </c>
      <c r="B406" s="213"/>
      <c r="C406" s="213"/>
      <c r="D406" s="213"/>
      <c r="E406" s="13"/>
      <c r="G406" s="212" t="s">
        <v>63</v>
      </c>
      <c r="H406" s="213"/>
      <c r="I406" s="213"/>
      <c r="J406" s="213"/>
      <c r="K406" s="13"/>
    </row>
    <row r="407" spans="1:11" x14ac:dyDescent="0.25">
      <c r="A407" s="14" t="s">
        <v>112</v>
      </c>
      <c r="B407" s="2" t="s">
        <v>69</v>
      </c>
      <c r="C407" s="5">
        <f>(C402+C403+C404+C405)/20</f>
        <v>0.15</v>
      </c>
      <c r="D407" s="4">
        <f>Salarios!$M$15</f>
        <v>0</v>
      </c>
      <c r="E407" s="13">
        <f>C407*D407</f>
        <v>0</v>
      </c>
      <c r="G407" s="14" t="s">
        <v>112</v>
      </c>
      <c r="H407" s="2" t="s">
        <v>69</v>
      </c>
      <c r="I407" s="5">
        <f>(I402+I403+I404+I405)/20</f>
        <v>0.25</v>
      </c>
      <c r="J407" s="4">
        <f>Salarios!$M$15</f>
        <v>0</v>
      </c>
      <c r="K407" s="13">
        <f>I407*J407</f>
        <v>0</v>
      </c>
    </row>
    <row r="408" spans="1:11" x14ac:dyDescent="0.25">
      <c r="A408" s="14" t="s">
        <v>58</v>
      </c>
      <c r="B408" s="2" t="s">
        <v>69</v>
      </c>
      <c r="C408" s="5">
        <f>(C402+C403+C404+C405)/60</f>
        <v>0.05</v>
      </c>
      <c r="D408" s="4">
        <f>Salarios!$M$26</f>
        <v>0</v>
      </c>
      <c r="E408" s="13">
        <f>C408*D408</f>
        <v>0</v>
      </c>
      <c r="G408" s="14" t="s">
        <v>58</v>
      </c>
      <c r="H408" s="2" t="s">
        <v>69</v>
      </c>
      <c r="I408" s="5">
        <f>(I402+I403+I404+I405)/60</f>
        <v>8.3333333333333329E-2</v>
      </c>
      <c r="J408" s="4">
        <f>Salarios!$M$26</f>
        <v>0</v>
      </c>
      <c r="K408" s="13">
        <f>I408*J408</f>
        <v>0</v>
      </c>
    </row>
    <row r="409" spans="1:11" x14ac:dyDescent="0.25">
      <c r="A409" s="205" t="s">
        <v>65</v>
      </c>
      <c r="B409" s="206"/>
      <c r="C409" s="206"/>
      <c r="D409" s="206"/>
      <c r="E409" s="13">
        <f>SUM(E402:E408)</f>
        <v>0</v>
      </c>
      <c r="G409" s="205" t="s">
        <v>65</v>
      </c>
      <c r="H409" s="206"/>
      <c r="I409" s="206"/>
      <c r="J409" s="206"/>
      <c r="K409" s="13">
        <f>SUM(K402:K408)</f>
        <v>0</v>
      </c>
    </row>
    <row r="410" spans="1:11" x14ac:dyDescent="0.25">
      <c r="A410" s="14" t="s">
        <v>66</v>
      </c>
      <c r="B410" s="2" t="s">
        <v>71</v>
      </c>
      <c r="C410" s="6">
        <v>0.04</v>
      </c>
      <c r="D410" s="4">
        <f>E409</f>
        <v>0</v>
      </c>
      <c r="E410" s="13">
        <f>C410*D410</f>
        <v>0</v>
      </c>
      <c r="G410" s="14" t="s">
        <v>66</v>
      </c>
      <c r="H410" s="2" t="s">
        <v>71</v>
      </c>
      <c r="I410" s="6">
        <v>0.04</v>
      </c>
      <c r="J410" s="4">
        <f>K409</f>
        <v>0</v>
      </c>
      <c r="K410" s="13">
        <f>I410*J410</f>
        <v>0</v>
      </c>
    </row>
    <row r="411" spans="1:11" ht="13.8" thickBot="1" x14ac:dyDescent="0.3">
      <c r="A411" s="207" t="s">
        <v>64</v>
      </c>
      <c r="B411" s="208"/>
      <c r="C411" s="208"/>
      <c r="D411" s="208"/>
      <c r="E411" s="15">
        <f>SUM(E409:E410)</f>
        <v>0</v>
      </c>
      <c r="G411" s="207" t="s">
        <v>64</v>
      </c>
      <c r="H411" s="208"/>
      <c r="I411" s="208"/>
      <c r="J411" s="208"/>
      <c r="K411" s="15">
        <f>SUM(K409:K410)</f>
        <v>0</v>
      </c>
    </row>
    <row r="413" spans="1:11" ht="13.8" thickBot="1" x14ac:dyDescent="0.3"/>
    <row r="414" spans="1:11" x14ac:dyDescent="0.25">
      <c r="A414" s="209" t="s">
        <v>138</v>
      </c>
      <c r="B414" s="210"/>
      <c r="C414" s="210"/>
      <c r="D414" s="210"/>
      <c r="E414" s="211"/>
      <c r="G414" s="209" t="s">
        <v>143</v>
      </c>
      <c r="H414" s="210"/>
      <c r="I414" s="210"/>
      <c r="J414" s="210"/>
      <c r="K414" s="211"/>
    </row>
    <row r="415" spans="1:11" x14ac:dyDescent="0.25">
      <c r="A415" s="10" t="s">
        <v>59</v>
      </c>
      <c r="B415" s="1" t="s">
        <v>60</v>
      </c>
      <c r="C415" s="1" t="s">
        <v>61</v>
      </c>
      <c r="D415" s="1" t="s">
        <v>10</v>
      </c>
      <c r="E415" s="11" t="s">
        <v>62</v>
      </c>
      <c r="G415" s="10" t="s">
        <v>59</v>
      </c>
      <c r="H415" s="1" t="s">
        <v>60</v>
      </c>
      <c r="I415" s="1" t="s">
        <v>61</v>
      </c>
      <c r="J415" s="1" t="s">
        <v>10</v>
      </c>
      <c r="K415" s="11" t="s">
        <v>62</v>
      </c>
    </row>
    <row r="416" spans="1:11" x14ac:dyDescent="0.25">
      <c r="A416" s="12" t="s">
        <v>11</v>
      </c>
      <c r="B416" s="2" t="s">
        <v>69</v>
      </c>
      <c r="C416" s="3">
        <v>10</v>
      </c>
      <c r="D416" s="4">
        <f>Salarios!$M$39</f>
        <v>0</v>
      </c>
      <c r="E416" s="13">
        <f>C416*D416</f>
        <v>0</v>
      </c>
      <c r="G416" s="14" t="s">
        <v>131</v>
      </c>
      <c r="H416" s="2" t="s">
        <v>69</v>
      </c>
      <c r="I416" s="3">
        <v>1</v>
      </c>
      <c r="J416" s="4">
        <f>Salarios!$M$31</f>
        <v>0</v>
      </c>
      <c r="K416" s="13">
        <f>I416*J416</f>
        <v>0</v>
      </c>
    </row>
    <row r="417" spans="1:11" x14ac:dyDescent="0.25">
      <c r="A417" s="14"/>
      <c r="B417" s="2"/>
      <c r="C417" s="3"/>
      <c r="D417" s="4"/>
      <c r="E417" s="13">
        <f>C417*D417</f>
        <v>0</v>
      </c>
      <c r="G417" s="12" t="s">
        <v>11</v>
      </c>
      <c r="H417" s="2" t="s">
        <v>69</v>
      </c>
      <c r="I417" s="3">
        <v>1</v>
      </c>
      <c r="J417" s="4">
        <f>Salarios!$M$39</f>
        <v>0</v>
      </c>
      <c r="K417" s="13">
        <f>I417*J417</f>
        <v>0</v>
      </c>
    </row>
    <row r="418" spans="1:11" x14ac:dyDescent="0.25">
      <c r="A418" s="14"/>
      <c r="B418" s="2"/>
      <c r="C418" s="3"/>
      <c r="D418" s="4"/>
      <c r="E418" s="13">
        <f>C418*D418</f>
        <v>0</v>
      </c>
      <c r="G418" s="12" t="s">
        <v>82</v>
      </c>
      <c r="H418" s="2" t="s">
        <v>69</v>
      </c>
      <c r="I418" s="3">
        <v>1</v>
      </c>
      <c r="J418" s="4">
        <f>Salarios!$M$10</f>
        <v>0</v>
      </c>
      <c r="K418" s="13">
        <f>I418*J418</f>
        <v>0</v>
      </c>
    </row>
    <row r="419" spans="1:11" x14ac:dyDescent="0.25">
      <c r="A419" s="14"/>
      <c r="B419" s="2"/>
      <c r="C419" s="3"/>
      <c r="D419" s="4"/>
      <c r="E419" s="13">
        <f>C419*D419</f>
        <v>0</v>
      </c>
      <c r="G419" s="14"/>
      <c r="H419" s="2"/>
      <c r="I419" s="3"/>
      <c r="J419" s="4"/>
      <c r="K419" s="13">
        <f>I419*J419</f>
        <v>0</v>
      </c>
    </row>
    <row r="420" spans="1:11" x14ac:dyDescent="0.25">
      <c r="A420" s="212" t="s">
        <v>63</v>
      </c>
      <c r="B420" s="213"/>
      <c r="C420" s="213"/>
      <c r="D420" s="213"/>
      <c r="E420" s="13"/>
      <c r="G420" s="212" t="s">
        <v>63</v>
      </c>
      <c r="H420" s="213"/>
      <c r="I420" s="213"/>
      <c r="J420" s="213"/>
      <c r="K420" s="13"/>
    </row>
    <row r="421" spans="1:11" x14ac:dyDescent="0.25">
      <c r="A421" s="14" t="s">
        <v>70</v>
      </c>
      <c r="B421" s="2" t="s">
        <v>69</v>
      </c>
      <c r="C421" s="5">
        <f>(C416+C417+C418+C419)/20</f>
        <v>0.5</v>
      </c>
      <c r="D421" s="4">
        <f>Salarios!$M$16</f>
        <v>0</v>
      </c>
      <c r="E421" s="13">
        <f>C421*D421</f>
        <v>0</v>
      </c>
      <c r="G421" s="14" t="s">
        <v>112</v>
      </c>
      <c r="H421" s="2" t="s">
        <v>69</v>
      </c>
      <c r="I421" s="5">
        <f>(I416+I417+I418+I419)/20</f>
        <v>0.15</v>
      </c>
      <c r="J421" s="4">
        <f>Salarios!$M$15</f>
        <v>0</v>
      </c>
      <c r="K421" s="13">
        <f>I421*J421</f>
        <v>0</v>
      </c>
    </row>
    <row r="422" spans="1:11" x14ac:dyDescent="0.25">
      <c r="A422" s="14" t="s">
        <v>58</v>
      </c>
      <c r="B422" s="2" t="s">
        <v>69</v>
      </c>
      <c r="C422" s="5">
        <f>(C416+C417+C418+C419)/60</f>
        <v>0.16666666666666666</v>
      </c>
      <c r="D422" s="4">
        <f>Salarios!$M$26</f>
        <v>0</v>
      </c>
      <c r="E422" s="13">
        <f>C422*D422</f>
        <v>0</v>
      </c>
      <c r="G422" s="14" t="s">
        <v>58</v>
      </c>
      <c r="H422" s="2" t="s">
        <v>69</v>
      </c>
      <c r="I422" s="5">
        <f>(I416+I417+I418+I419)/60</f>
        <v>0.05</v>
      </c>
      <c r="J422" s="4">
        <f>Salarios!$M$26</f>
        <v>0</v>
      </c>
      <c r="K422" s="13">
        <f>I422*J422</f>
        <v>0</v>
      </c>
    </row>
    <row r="423" spans="1:11" x14ac:dyDescent="0.25">
      <c r="A423" s="205" t="s">
        <v>65</v>
      </c>
      <c r="B423" s="206"/>
      <c r="C423" s="206"/>
      <c r="D423" s="206"/>
      <c r="E423" s="13">
        <f>SUM(E416:E422)</f>
        <v>0</v>
      </c>
      <c r="G423" s="205" t="s">
        <v>65</v>
      </c>
      <c r="H423" s="206"/>
      <c r="I423" s="206"/>
      <c r="J423" s="206"/>
      <c r="K423" s="13">
        <f>SUM(K416:K422)</f>
        <v>0</v>
      </c>
    </row>
    <row r="424" spans="1:11" x14ac:dyDescent="0.25">
      <c r="A424" s="14" t="s">
        <v>66</v>
      </c>
      <c r="B424" s="2" t="s">
        <v>71</v>
      </c>
      <c r="C424" s="6">
        <v>0.04</v>
      </c>
      <c r="D424" s="4">
        <f>E423</f>
        <v>0</v>
      </c>
      <c r="E424" s="13">
        <f>C424*D424</f>
        <v>0</v>
      </c>
      <c r="G424" s="14" t="s">
        <v>66</v>
      </c>
      <c r="H424" s="2" t="s">
        <v>71</v>
      </c>
      <c r="I424" s="6">
        <v>0.04</v>
      </c>
      <c r="J424" s="4">
        <f>K423</f>
        <v>0</v>
      </c>
      <c r="K424" s="13">
        <f>I424*J424</f>
        <v>0</v>
      </c>
    </row>
    <row r="425" spans="1:11" ht="13.8" thickBot="1" x14ac:dyDescent="0.3">
      <c r="A425" s="207" t="s">
        <v>64</v>
      </c>
      <c r="B425" s="208"/>
      <c r="C425" s="208"/>
      <c r="D425" s="208"/>
      <c r="E425" s="15">
        <f>SUM(E423:E424)</f>
        <v>0</v>
      </c>
      <c r="G425" s="207" t="s">
        <v>64</v>
      </c>
      <c r="H425" s="208"/>
      <c r="I425" s="208"/>
      <c r="J425" s="208"/>
      <c r="K425" s="15">
        <f>SUM(K423:K424)</f>
        <v>0</v>
      </c>
    </row>
    <row r="427" spans="1:11" ht="13.8" thickBot="1" x14ac:dyDescent="0.3"/>
    <row r="428" spans="1:11" x14ac:dyDescent="0.25">
      <c r="A428" s="209" t="s">
        <v>144</v>
      </c>
      <c r="B428" s="210"/>
      <c r="C428" s="210"/>
      <c r="D428" s="210"/>
      <c r="E428" s="211"/>
      <c r="G428" s="209" t="s">
        <v>149</v>
      </c>
      <c r="H428" s="210"/>
      <c r="I428" s="210"/>
      <c r="J428" s="210"/>
      <c r="K428" s="211"/>
    </row>
    <row r="429" spans="1:11" x14ac:dyDescent="0.25">
      <c r="A429" s="10" t="s">
        <v>59</v>
      </c>
      <c r="B429" s="1" t="s">
        <v>60</v>
      </c>
      <c r="C429" s="1" t="s">
        <v>61</v>
      </c>
      <c r="D429" s="1" t="s">
        <v>10</v>
      </c>
      <c r="E429" s="11" t="s">
        <v>62</v>
      </c>
      <c r="G429" s="10" t="s">
        <v>59</v>
      </c>
      <c r="H429" s="1" t="s">
        <v>60</v>
      </c>
      <c r="I429" s="1" t="s">
        <v>61</v>
      </c>
      <c r="J429" s="1" t="s">
        <v>10</v>
      </c>
      <c r="K429" s="11" t="s">
        <v>62</v>
      </c>
    </row>
    <row r="430" spans="1:11" x14ac:dyDescent="0.25">
      <c r="A430" s="14" t="s">
        <v>131</v>
      </c>
      <c r="B430" s="2" t="s">
        <v>69</v>
      </c>
      <c r="C430" s="3">
        <v>1</v>
      </c>
      <c r="D430" s="4">
        <f>Salarios!$M$31</f>
        <v>0</v>
      </c>
      <c r="E430" s="13">
        <f>C430*D430</f>
        <v>0</v>
      </c>
      <c r="G430" s="12" t="s">
        <v>11</v>
      </c>
      <c r="H430" s="2" t="s">
        <v>69</v>
      </c>
      <c r="I430" s="3">
        <v>4</v>
      </c>
      <c r="J430" s="4">
        <f>Salarios!$M$39</f>
        <v>0</v>
      </c>
      <c r="K430" s="13">
        <f>I430*J430</f>
        <v>0</v>
      </c>
    </row>
    <row r="431" spans="1:11" x14ac:dyDescent="0.25">
      <c r="A431" s="12" t="s">
        <v>11</v>
      </c>
      <c r="B431" s="2" t="s">
        <v>69</v>
      </c>
      <c r="C431" s="3">
        <v>2</v>
      </c>
      <c r="D431" s="4">
        <f>Salarios!$M$39</f>
        <v>0</v>
      </c>
      <c r="E431" s="13">
        <f>C431*D431</f>
        <v>0</v>
      </c>
      <c r="G431" s="14" t="s">
        <v>38</v>
      </c>
      <c r="H431" s="2" t="s">
        <v>69</v>
      </c>
      <c r="I431" s="3">
        <v>2</v>
      </c>
      <c r="J431" s="4">
        <f>Salarios!$M$51</f>
        <v>0</v>
      </c>
      <c r="K431" s="13">
        <f>I431*J431</f>
        <v>0</v>
      </c>
    </row>
    <row r="432" spans="1:11" x14ac:dyDescent="0.25">
      <c r="A432" s="14" t="s">
        <v>38</v>
      </c>
      <c r="B432" s="2" t="s">
        <v>69</v>
      </c>
      <c r="C432" s="3">
        <v>1</v>
      </c>
      <c r="D432" s="4">
        <f>Salarios!$M$51</f>
        <v>0</v>
      </c>
      <c r="E432" s="13">
        <f>C432*D432</f>
        <v>0</v>
      </c>
      <c r="G432" s="14" t="s">
        <v>39</v>
      </c>
      <c r="H432" s="2" t="s">
        <v>69</v>
      </c>
      <c r="I432" s="3">
        <v>1</v>
      </c>
      <c r="J432" s="4">
        <f>Salarios!$M$50</f>
        <v>0</v>
      </c>
      <c r="K432" s="13">
        <f>I432*J432</f>
        <v>0</v>
      </c>
    </row>
    <row r="433" spans="1:11" x14ac:dyDescent="0.25">
      <c r="A433" s="14"/>
      <c r="B433" s="2"/>
      <c r="C433" s="3"/>
      <c r="D433" s="4"/>
      <c r="E433" s="13">
        <f>C433*D433</f>
        <v>0</v>
      </c>
      <c r="G433" s="14"/>
      <c r="H433" s="2"/>
      <c r="I433" s="3"/>
      <c r="J433" s="4"/>
      <c r="K433" s="13">
        <f>I433*J433</f>
        <v>0</v>
      </c>
    </row>
    <row r="434" spans="1:11" x14ac:dyDescent="0.25">
      <c r="A434" s="212" t="s">
        <v>63</v>
      </c>
      <c r="B434" s="213"/>
      <c r="C434" s="213"/>
      <c r="D434" s="213"/>
      <c r="E434" s="13"/>
      <c r="G434" s="212" t="s">
        <v>63</v>
      </c>
      <c r="H434" s="213"/>
      <c r="I434" s="213"/>
      <c r="J434" s="213"/>
      <c r="K434" s="13"/>
    </row>
    <row r="435" spans="1:11" x14ac:dyDescent="0.25">
      <c r="A435" s="14" t="s">
        <v>112</v>
      </c>
      <c r="B435" s="2" t="s">
        <v>69</v>
      </c>
      <c r="C435" s="5">
        <f>(C430+C431+C432+C433)/20</f>
        <v>0.2</v>
      </c>
      <c r="D435" s="4">
        <f>Salarios!$M$15</f>
        <v>0</v>
      </c>
      <c r="E435" s="13">
        <f>C435*D435</f>
        <v>0</v>
      </c>
      <c r="G435" s="14" t="s">
        <v>112</v>
      </c>
      <c r="H435" s="2" t="s">
        <v>69</v>
      </c>
      <c r="I435" s="5">
        <f>(I430+I431+I432+I433)/20</f>
        <v>0.35</v>
      </c>
      <c r="J435" s="4">
        <f>Salarios!$M$15</f>
        <v>0</v>
      </c>
      <c r="K435" s="13">
        <f>I435*J435</f>
        <v>0</v>
      </c>
    </row>
    <row r="436" spans="1:11" x14ac:dyDescent="0.25">
      <c r="A436" s="14" t="s">
        <v>58</v>
      </c>
      <c r="B436" s="2" t="s">
        <v>69</v>
      </c>
      <c r="C436" s="5">
        <f>(C430+C431+C432+C433)/60</f>
        <v>6.6666666666666666E-2</v>
      </c>
      <c r="D436" s="4">
        <f>Salarios!$M$26</f>
        <v>0</v>
      </c>
      <c r="E436" s="13">
        <f>C436*D436</f>
        <v>0</v>
      </c>
      <c r="G436" s="14" t="s">
        <v>58</v>
      </c>
      <c r="H436" s="2" t="s">
        <v>69</v>
      </c>
      <c r="I436" s="5">
        <f>(I430+I431+I432+I433)/60</f>
        <v>0.11666666666666667</v>
      </c>
      <c r="J436" s="4">
        <f>Salarios!$M$26</f>
        <v>0</v>
      </c>
      <c r="K436" s="13">
        <f>I436*J436</f>
        <v>0</v>
      </c>
    </row>
    <row r="437" spans="1:11" x14ac:dyDescent="0.25">
      <c r="A437" s="205" t="s">
        <v>65</v>
      </c>
      <c r="B437" s="206"/>
      <c r="C437" s="206"/>
      <c r="D437" s="206"/>
      <c r="E437" s="13">
        <f>SUM(E430:E436)</f>
        <v>0</v>
      </c>
      <c r="G437" s="205" t="s">
        <v>65</v>
      </c>
      <c r="H437" s="206"/>
      <c r="I437" s="206"/>
      <c r="J437" s="206"/>
      <c r="K437" s="13">
        <f>SUM(K430:K436)</f>
        <v>0</v>
      </c>
    </row>
    <row r="438" spans="1:11" x14ac:dyDescent="0.25">
      <c r="A438" s="14" t="s">
        <v>66</v>
      </c>
      <c r="B438" s="2" t="s">
        <v>71</v>
      </c>
      <c r="C438" s="6">
        <v>0.04</v>
      </c>
      <c r="D438" s="4">
        <f>E437</f>
        <v>0</v>
      </c>
      <c r="E438" s="13">
        <f>C438*D438</f>
        <v>0</v>
      </c>
      <c r="G438" s="14" t="s">
        <v>66</v>
      </c>
      <c r="H438" s="2" t="s">
        <v>71</v>
      </c>
      <c r="I438" s="6">
        <v>0.04</v>
      </c>
      <c r="J438" s="4">
        <f>K437</f>
        <v>0</v>
      </c>
      <c r="K438" s="13">
        <f>I438*J438</f>
        <v>0</v>
      </c>
    </row>
    <row r="439" spans="1:11" ht="13.8" thickBot="1" x14ac:dyDescent="0.3">
      <c r="A439" s="207" t="s">
        <v>64</v>
      </c>
      <c r="B439" s="208"/>
      <c r="C439" s="208"/>
      <c r="D439" s="208"/>
      <c r="E439" s="15">
        <f>SUM(E437:E438)</f>
        <v>0</v>
      </c>
      <c r="G439" s="207" t="s">
        <v>64</v>
      </c>
      <c r="H439" s="208"/>
      <c r="I439" s="208"/>
      <c r="J439" s="208"/>
      <c r="K439" s="15">
        <f>SUM(K437:K438)</f>
        <v>0</v>
      </c>
    </row>
    <row r="441" spans="1:11" ht="13.8" thickBot="1" x14ac:dyDescent="0.3"/>
    <row r="442" spans="1:11" x14ac:dyDescent="0.25">
      <c r="A442" s="209" t="s">
        <v>146</v>
      </c>
      <c r="B442" s="210"/>
      <c r="C442" s="210"/>
      <c r="D442" s="210"/>
      <c r="E442" s="211"/>
      <c r="G442" s="209" t="s">
        <v>150</v>
      </c>
      <c r="H442" s="210"/>
      <c r="I442" s="210"/>
      <c r="J442" s="210"/>
      <c r="K442" s="211"/>
    </row>
    <row r="443" spans="1:11" x14ac:dyDescent="0.25">
      <c r="A443" s="10" t="s">
        <v>59</v>
      </c>
      <c r="B443" s="1" t="s">
        <v>60</v>
      </c>
      <c r="C443" s="1" t="s">
        <v>61</v>
      </c>
      <c r="D443" s="1" t="s">
        <v>10</v>
      </c>
      <c r="E443" s="11" t="s">
        <v>62</v>
      </c>
      <c r="G443" s="10" t="s">
        <v>59</v>
      </c>
      <c r="H443" s="1" t="s">
        <v>60</v>
      </c>
      <c r="I443" s="1" t="s">
        <v>61</v>
      </c>
      <c r="J443" s="1" t="s">
        <v>10</v>
      </c>
      <c r="K443" s="11" t="s">
        <v>62</v>
      </c>
    </row>
    <row r="444" spans="1:11" x14ac:dyDescent="0.25">
      <c r="A444" s="14" t="s">
        <v>131</v>
      </c>
      <c r="B444" s="2" t="s">
        <v>69</v>
      </c>
      <c r="C444" s="3">
        <v>1</v>
      </c>
      <c r="D444" s="4">
        <f>Salarios!$M$31</f>
        <v>0</v>
      </c>
      <c r="E444" s="13">
        <f>C444*D444</f>
        <v>0</v>
      </c>
      <c r="G444" s="12" t="s">
        <v>11</v>
      </c>
      <c r="H444" s="2" t="s">
        <v>69</v>
      </c>
      <c r="I444" s="3">
        <v>6</v>
      </c>
      <c r="J444" s="4">
        <f>Salarios!$M$39</f>
        <v>0</v>
      </c>
      <c r="K444" s="13">
        <f>I444*J444</f>
        <v>0</v>
      </c>
    </row>
    <row r="445" spans="1:11" x14ac:dyDescent="0.25">
      <c r="A445" s="12" t="s">
        <v>11</v>
      </c>
      <c r="B445" s="2" t="s">
        <v>69</v>
      </c>
      <c r="C445" s="3">
        <v>2</v>
      </c>
      <c r="D445" s="4">
        <f>Salarios!$M$39</f>
        <v>0</v>
      </c>
      <c r="E445" s="13">
        <f>C445*D445</f>
        <v>0</v>
      </c>
      <c r="G445" s="14" t="s">
        <v>38</v>
      </c>
      <c r="H445" s="2" t="s">
        <v>69</v>
      </c>
      <c r="I445" s="3">
        <v>2</v>
      </c>
      <c r="J445" s="4">
        <f>Salarios!$M$51</f>
        <v>0</v>
      </c>
      <c r="K445" s="13">
        <f>I445*J445</f>
        <v>0</v>
      </c>
    </row>
    <row r="446" spans="1:11" x14ac:dyDescent="0.25">
      <c r="A446" s="14" t="s">
        <v>39</v>
      </c>
      <c r="B446" s="2" t="s">
        <v>69</v>
      </c>
      <c r="C446" s="3">
        <v>1</v>
      </c>
      <c r="D446" s="4">
        <f>Salarios!$M$50</f>
        <v>0</v>
      </c>
      <c r="E446" s="13">
        <f>C446*D446</f>
        <v>0</v>
      </c>
      <c r="G446" s="14" t="s">
        <v>39</v>
      </c>
      <c r="H446" s="2" t="s">
        <v>69</v>
      </c>
      <c r="I446" s="3">
        <v>1</v>
      </c>
      <c r="J446" s="4">
        <f>Salarios!$M$50</f>
        <v>0</v>
      </c>
      <c r="K446" s="13">
        <f>I446*J446</f>
        <v>0</v>
      </c>
    </row>
    <row r="447" spans="1:11" x14ac:dyDescent="0.25">
      <c r="A447" s="14"/>
      <c r="B447" s="2"/>
      <c r="C447" s="3"/>
      <c r="D447" s="4"/>
      <c r="E447" s="13">
        <f>C447*D447</f>
        <v>0</v>
      </c>
      <c r="G447" s="14"/>
      <c r="H447" s="2"/>
      <c r="I447" s="3"/>
      <c r="J447" s="4"/>
      <c r="K447" s="13">
        <f>I447*J447</f>
        <v>0</v>
      </c>
    </row>
    <row r="448" spans="1:11" x14ac:dyDescent="0.25">
      <c r="A448" s="212" t="s">
        <v>63</v>
      </c>
      <c r="B448" s="213"/>
      <c r="C448" s="213"/>
      <c r="D448" s="213"/>
      <c r="E448" s="13"/>
      <c r="G448" s="212" t="s">
        <v>63</v>
      </c>
      <c r="H448" s="213"/>
      <c r="I448" s="213"/>
      <c r="J448" s="213"/>
      <c r="K448" s="13"/>
    </row>
    <row r="449" spans="1:11" x14ac:dyDescent="0.25">
      <c r="A449" s="14" t="s">
        <v>112</v>
      </c>
      <c r="B449" s="2" t="s">
        <v>69</v>
      </c>
      <c r="C449" s="5">
        <f>(C444+C445+C446+C447)/20</f>
        <v>0.2</v>
      </c>
      <c r="D449" s="4">
        <f>Salarios!$M$15</f>
        <v>0</v>
      </c>
      <c r="E449" s="13">
        <f>C449*D449</f>
        <v>0</v>
      </c>
      <c r="G449" s="14" t="s">
        <v>112</v>
      </c>
      <c r="H449" s="2" t="s">
        <v>69</v>
      </c>
      <c r="I449" s="5">
        <f>(I444+I445+I446+I447)/20</f>
        <v>0.45</v>
      </c>
      <c r="J449" s="4">
        <f>Salarios!$M$15</f>
        <v>0</v>
      </c>
      <c r="K449" s="13">
        <f>I449*J449</f>
        <v>0</v>
      </c>
    </row>
    <row r="450" spans="1:11" x14ac:dyDescent="0.25">
      <c r="A450" s="14" t="s">
        <v>58</v>
      </c>
      <c r="B450" s="2" t="s">
        <v>69</v>
      </c>
      <c r="C450" s="5">
        <f>(C444+C445+C446+C447)/60</f>
        <v>6.6666666666666666E-2</v>
      </c>
      <c r="D450" s="4">
        <f>Salarios!$M$26</f>
        <v>0</v>
      </c>
      <c r="E450" s="13">
        <f>C450*D450</f>
        <v>0</v>
      </c>
      <c r="G450" s="14" t="s">
        <v>58</v>
      </c>
      <c r="H450" s="2" t="s">
        <v>69</v>
      </c>
      <c r="I450" s="5">
        <f>(I444+I445+I446+I447)/60</f>
        <v>0.15</v>
      </c>
      <c r="J450" s="4">
        <f>Salarios!$M$26</f>
        <v>0</v>
      </c>
      <c r="K450" s="13">
        <f>I450*J450</f>
        <v>0</v>
      </c>
    </row>
    <row r="451" spans="1:11" x14ac:dyDescent="0.25">
      <c r="A451" s="205" t="s">
        <v>65</v>
      </c>
      <c r="B451" s="206"/>
      <c r="C451" s="206"/>
      <c r="D451" s="206"/>
      <c r="E451" s="13">
        <f>SUM(E444:E450)</f>
        <v>0</v>
      </c>
      <c r="G451" s="205" t="s">
        <v>65</v>
      </c>
      <c r="H451" s="206"/>
      <c r="I451" s="206"/>
      <c r="J451" s="206"/>
      <c r="K451" s="13">
        <f>SUM(K444:K450)</f>
        <v>0</v>
      </c>
    </row>
    <row r="452" spans="1:11" x14ac:dyDescent="0.25">
      <c r="A452" s="14" t="s">
        <v>66</v>
      </c>
      <c r="B452" s="2" t="s">
        <v>71</v>
      </c>
      <c r="C452" s="6">
        <v>0.04</v>
      </c>
      <c r="D452" s="4">
        <f>E451</f>
        <v>0</v>
      </c>
      <c r="E452" s="13">
        <f>C452*D452</f>
        <v>0</v>
      </c>
      <c r="G452" s="14" t="s">
        <v>66</v>
      </c>
      <c r="H452" s="2" t="s">
        <v>71</v>
      </c>
      <c r="I452" s="6">
        <v>0.04</v>
      </c>
      <c r="J452" s="4">
        <f>K451</f>
        <v>0</v>
      </c>
      <c r="K452" s="13">
        <f>I452*J452</f>
        <v>0</v>
      </c>
    </row>
    <row r="453" spans="1:11" ht="13.8" thickBot="1" x14ac:dyDescent="0.3">
      <c r="A453" s="207" t="s">
        <v>64</v>
      </c>
      <c r="B453" s="208"/>
      <c r="C453" s="208"/>
      <c r="D453" s="208"/>
      <c r="E453" s="15">
        <f>SUM(E451:E452)</f>
        <v>0</v>
      </c>
      <c r="G453" s="207" t="s">
        <v>64</v>
      </c>
      <c r="H453" s="208"/>
      <c r="I453" s="208"/>
      <c r="J453" s="208"/>
      <c r="K453" s="15">
        <f>SUM(K451:K452)</f>
        <v>0</v>
      </c>
    </row>
    <row r="455" spans="1:11" ht="13.8" thickBot="1" x14ac:dyDescent="0.3"/>
    <row r="456" spans="1:11" x14ac:dyDescent="0.25">
      <c r="A456" s="209" t="s">
        <v>145</v>
      </c>
      <c r="B456" s="210"/>
      <c r="C456" s="210"/>
      <c r="D456" s="210"/>
      <c r="E456" s="211"/>
      <c r="G456" s="209" t="s">
        <v>151</v>
      </c>
      <c r="H456" s="210"/>
      <c r="I456" s="210"/>
      <c r="J456" s="210"/>
      <c r="K456" s="211"/>
    </row>
    <row r="457" spans="1:11" x14ac:dyDescent="0.25">
      <c r="A457" s="10" t="s">
        <v>59</v>
      </c>
      <c r="B457" s="1" t="s">
        <v>60</v>
      </c>
      <c r="C457" s="1" t="s">
        <v>61</v>
      </c>
      <c r="D457" s="1" t="s">
        <v>10</v>
      </c>
      <c r="E457" s="11" t="s">
        <v>62</v>
      </c>
      <c r="G457" s="10" t="s">
        <v>59</v>
      </c>
      <c r="H457" s="1" t="s">
        <v>60</v>
      </c>
      <c r="I457" s="1" t="s">
        <v>61</v>
      </c>
      <c r="J457" s="1" t="s">
        <v>10</v>
      </c>
      <c r="K457" s="11" t="s">
        <v>62</v>
      </c>
    </row>
    <row r="458" spans="1:11" x14ac:dyDescent="0.25">
      <c r="A458" s="14" t="s">
        <v>131</v>
      </c>
      <c r="B458" s="2" t="s">
        <v>69</v>
      </c>
      <c r="C458" s="3">
        <v>1</v>
      </c>
      <c r="D458" s="4">
        <f>Salarios!$M$31</f>
        <v>0</v>
      </c>
      <c r="E458" s="13">
        <f>C458*D458</f>
        <v>0</v>
      </c>
      <c r="G458" s="12" t="s">
        <v>55</v>
      </c>
      <c r="H458" s="2" t="s">
        <v>69</v>
      </c>
      <c r="I458" s="3">
        <v>1</v>
      </c>
      <c r="J458" s="4">
        <f>Salarios!$M$49</f>
        <v>0</v>
      </c>
      <c r="K458" s="13">
        <f>I458*J458</f>
        <v>0</v>
      </c>
    </row>
    <row r="459" spans="1:11" x14ac:dyDescent="0.25">
      <c r="A459" s="12" t="s">
        <v>11</v>
      </c>
      <c r="B459" s="2" t="s">
        <v>69</v>
      </c>
      <c r="C459" s="3">
        <v>4</v>
      </c>
      <c r="D459" s="4">
        <f>Salarios!$M$39</f>
        <v>0</v>
      </c>
      <c r="E459" s="13">
        <f>C459*D459</f>
        <v>0</v>
      </c>
      <c r="G459" s="12" t="s">
        <v>56</v>
      </c>
      <c r="H459" s="2" t="s">
        <v>69</v>
      </c>
      <c r="I459" s="3">
        <v>4</v>
      </c>
      <c r="J459" s="4">
        <f>Salarios!$M$43</f>
        <v>0</v>
      </c>
      <c r="K459" s="13">
        <f>I459*J459</f>
        <v>0</v>
      </c>
    </row>
    <row r="460" spans="1:11" x14ac:dyDescent="0.25">
      <c r="A460" s="14" t="s">
        <v>39</v>
      </c>
      <c r="B460" s="2" t="s">
        <v>69</v>
      </c>
      <c r="C460" s="3">
        <v>1</v>
      </c>
      <c r="D460" s="4">
        <f>Salarios!$M$50</f>
        <v>0</v>
      </c>
      <c r="E460" s="13">
        <f>C460*D460</f>
        <v>0</v>
      </c>
      <c r="G460" s="14" t="s">
        <v>11</v>
      </c>
      <c r="H460" s="2" t="s">
        <v>69</v>
      </c>
      <c r="I460" s="3">
        <v>5</v>
      </c>
      <c r="J460" s="4">
        <f>Salarios!$M$39</f>
        <v>0</v>
      </c>
      <c r="K460" s="13">
        <f>I460*J460</f>
        <v>0</v>
      </c>
    </row>
    <row r="461" spans="1:11" x14ac:dyDescent="0.25">
      <c r="A461" s="14"/>
      <c r="B461" s="2"/>
      <c r="C461" s="3"/>
      <c r="D461" s="4"/>
      <c r="E461" s="13">
        <f>C461*D461</f>
        <v>0</v>
      </c>
      <c r="G461" s="14"/>
      <c r="H461" s="2"/>
      <c r="I461" s="3"/>
      <c r="J461" s="4"/>
      <c r="K461" s="13">
        <f>I461*J461</f>
        <v>0</v>
      </c>
    </row>
    <row r="462" spans="1:11" x14ac:dyDescent="0.25">
      <c r="A462" s="212" t="s">
        <v>63</v>
      </c>
      <c r="B462" s="213"/>
      <c r="C462" s="213"/>
      <c r="D462" s="213"/>
      <c r="E462" s="13"/>
      <c r="G462" s="212" t="s">
        <v>63</v>
      </c>
      <c r="H462" s="213"/>
      <c r="I462" s="213"/>
      <c r="J462" s="213"/>
      <c r="K462" s="13"/>
    </row>
    <row r="463" spans="1:11" x14ac:dyDescent="0.25">
      <c r="A463" s="14" t="s">
        <v>112</v>
      </c>
      <c r="B463" s="2" t="s">
        <v>69</v>
      </c>
      <c r="C463" s="5">
        <f>(C458+C459+C460+C461)/20</f>
        <v>0.3</v>
      </c>
      <c r="D463" s="4">
        <f>Salarios!$M$15</f>
        <v>0</v>
      </c>
      <c r="E463" s="13">
        <f>C463*D463</f>
        <v>0</v>
      </c>
      <c r="G463" s="14" t="s">
        <v>112</v>
      </c>
      <c r="H463" s="2" t="s">
        <v>69</v>
      </c>
      <c r="I463" s="5">
        <f>(I458+I459+I460+I461)/20</f>
        <v>0.5</v>
      </c>
      <c r="J463" s="4">
        <f>Salarios!$M$15</f>
        <v>0</v>
      </c>
      <c r="K463" s="13">
        <f>I463*J463</f>
        <v>0</v>
      </c>
    </row>
    <row r="464" spans="1:11" x14ac:dyDescent="0.25">
      <c r="A464" s="14" t="s">
        <v>58</v>
      </c>
      <c r="B464" s="2" t="s">
        <v>69</v>
      </c>
      <c r="C464" s="5">
        <f>(C458+C459+C460+C461)/60</f>
        <v>0.1</v>
      </c>
      <c r="D464" s="4">
        <f>Salarios!$M$26</f>
        <v>0</v>
      </c>
      <c r="E464" s="13">
        <f>C464*D464</f>
        <v>0</v>
      </c>
      <c r="G464" s="14" t="s">
        <v>58</v>
      </c>
      <c r="H464" s="2" t="s">
        <v>69</v>
      </c>
      <c r="I464" s="5">
        <f>(I458+I459+I460+I461)/60</f>
        <v>0.16666666666666666</v>
      </c>
      <c r="J464" s="4">
        <f>Salarios!$M$26</f>
        <v>0</v>
      </c>
      <c r="K464" s="13">
        <f>I464*J464</f>
        <v>0</v>
      </c>
    </row>
    <row r="465" spans="1:11" x14ac:dyDescent="0.25">
      <c r="A465" s="205" t="s">
        <v>65</v>
      </c>
      <c r="B465" s="206"/>
      <c r="C465" s="206"/>
      <c r="D465" s="206"/>
      <c r="E465" s="13">
        <f>SUM(E458:E464)</f>
        <v>0</v>
      </c>
      <c r="G465" s="205" t="s">
        <v>65</v>
      </c>
      <c r="H465" s="206"/>
      <c r="I465" s="206"/>
      <c r="J465" s="206"/>
      <c r="K465" s="13">
        <f>SUM(K458:K464)</f>
        <v>0</v>
      </c>
    </row>
    <row r="466" spans="1:11" x14ac:dyDescent="0.25">
      <c r="A466" s="14" t="s">
        <v>66</v>
      </c>
      <c r="B466" s="2" t="s">
        <v>71</v>
      </c>
      <c r="C466" s="6">
        <v>0.04</v>
      </c>
      <c r="D466" s="4">
        <f>E465</f>
        <v>0</v>
      </c>
      <c r="E466" s="13">
        <f>C466*D466</f>
        <v>0</v>
      </c>
      <c r="G466" s="14" t="s">
        <v>66</v>
      </c>
      <c r="H466" s="2" t="s">
        <v>71</v>
      </c>
      <c r="I466" s="6">
        <v>0.04</v>
      </c>
      <c r="J466" s="4">
        <f>K465</f>
        <v>0</v>
      </c>
      <c r="K466" s="13">
        <f>I466*J466</f>
        <v>0</v>
      </c>
    </row>
    <row r="467" spans="1:11" ht="13.8" thickBot="1" x14ac:dyDescent="0.3">
      <c r="A467" s="207" t="s">
        <v>64</v>
      </c>
      <c r="B467" s="208"/>
      <c r="C467" s="208"/>
      <c r="D467" s="208"/>
      <c r="E467" s="15">
        <f>SUM(E465:E466)</f>
        <v>0</v>
      </c>
      <c r="G467" s="207" t="s">
        <v>64</v>
      </c>
      <c r="H467" s="208"/>
      <c r="I467" s="208"/>
      <c r="J467" s="208"/>
      <c r="K467" s="15">
        <f>SUM(K465:K466)</f>
        <v>0</v>
      </c>
    </row>
    <row r="469" spans="1:11" ht="13.8" thickBot="1" x14ac:dyDescent="0.3"/>
    <row r="470" spans="1:11" x14ac:dyDescent="0.25">
      <c r="A470" s="209" t="s">
        <v>147</v>
      </c>
      <c r="B470" s="210"/>
      <c r="C470" s="210"/>
      <c r="D470" s="210"/>
      <c r="E470" s="211"/>
      <c r="G470" s="209" t="s">
        <v>152</v>
      </c>
      <c r="H470" s="210"/>
      <c r="I470" s="210"/>
      <c r="J470" s="210"/>
      <c r="K470" s="211"/>
    </row>
    <row r="471" spans="1:11" x14ac:dyDescent="0.25">
      <c r="A471" s="10" t="s">
        <v>59</v>
      </c>
      <c r="B471" s="1" t="s">
        <v>60</v>
      </c>
      <c r="C471" s="1" t="s">
        <v>61</v>
      </c>
      <c r="D471" s="1" t="s">
        <v>10</v>
      </c>
      <c r="E471" s="11" t="s">
        <v>62</v>
      </c>
      <c r="G471" s="10" t="s">
        <v>59</v>
      </c>
      <c r="H471" s="1" t="s">
        <v>60</v>
      </c>
      <c r="I471" s="1" t="s">
        <v>61</v>
      </c>
      <c r="J471" s="1" t="s">
        <v>10</v>
      </c>
      <c r="K471" s="11" t="s">
        <v>62</v>
      </c>
    </row>
    <row r="472" spans="1:11" x14ac:dyDescent="0.25">
      <c r="A472" s="14" t="s">
        <v>131</v>
      </c>
      <c r="B472" s="2" t="s">
        <v>69</v>
      </c>
      <c r="C472" s="3">
        <v>1</v>
      </c>
      <c r="D472" s="4">
        <f>Salarios!$M$31</f>
        <v>0</v>
      </c>
      <c r="E472" s="13">
        <f>C472*D472</f>
        <v>0</v>
      </c>
      <c r="G472" s="12" t="s">
        <v>79</v>
      </c>
      <c r="H472" s="2" t="s">
        <v>69</v>
      </c>
      <c r="I472" s="3">
        <v>4</v>
      </c>
      <c r="J472" s="4">
        <f>Salarios!$M$11</f>
        <v>0</v>
      </c>
      <c r="K472" s="13">
        <f>I472*J472</f>
        <v>0</v>
      </c>
    </row>
    <row r="473" spans="1:11" x14ac:dyDescent="0.25">
      <c r="A473" s="12" t="s">
        <v>11</v>
      </c>
      <c r="B473" s="2" t="s">
        <v>69</v>
      </c>
      <c r="C473" s="3">
        <v>7</v>
      </c>
      <c r="D473" s="4">
        <f>Salarios!$M$39</f>
        <v>0</v>
      </c>
      <c r="E473" s="13">
        <f>C473*D473</f>
        <v>0</v>
      </c>
      <c r="G473" s="12" t="s">
        <v>85</v>
      </c>
      <c r="H473" s="2" t="s">
        <v>69</v>
      </c>
      <c r="I473" s="3">
        <v>4</v>
      </c>
      <c r="J473" s="4">
        <f>Salarios!$M$31</f>
        <v>0</v>
      </c>
      <c r="K473" s="13">
        <f>I473*J473</f>
        <v>0</v>
      </c>
    </row>
    <row r="474" spans="1:11" x14ac:dyDescent="0.25">
      <c r="A474" s="14" t="s">
        <v>39</v>
      </c>
      <c r="B474" s="2" t="s">
        <v>69</v>
      </c>
      <c r="C474" s="3">
        <v>1</v>
      </c>
      <c r="D474" s="4">
        <f>Salarios!$M$50</f>
        <v>0</v>
      </c>
      <c r="E474" s="13">
        <f>C474*D474</f>
        <v>0</v>
      </c>
      <c r="G474" s="14"/>
      <c r="H474" s="2"/>
      <c r="I474" s="3"/>
      <c r="J474" s="4"/>
      <c r="K474" s="13">
        <f>I474*J474</f>
        <v>0</v>
      </c>
    </row>
    <row r="475" spans="1:11" x14ac:dyDescent="0.25">
      <c r="A475" s="14"/>
      <c r="B475" s="2"/>
      <c r="C475" s="3"/>
      <c r="D475" s="4"/>
      <c r="E475" s="13">
        <f>C475*D475</f>
        <v>0</v>
      </c>
      <c r="G475" s="14"/>
      <c r="H475" s="2"/>
      <c r="I475" s="3"/>
      <c r="J475" s="4"/>
      <c r="K475" s="13">
        <f>I475*J475</f>
        <v>0</v>
      </c>
    </row>
    <row r="476" spans="1:11" x14ac:dyDescent="0.25">
      <c r="A476" s="212" t="s">
        <v>63</v>
      </c>
      <c r="B476" s="213"/>
      <c r="C476" s="213"/>
      <c r="D476" s="213"/>
      <c r="E476" s="13"/>
      <c r="G476" s="212" t="s">
        <v>63</v>
      </c>
      <c r="H476" s="213"/>
      <c r="I476" s="213"/>
      <c r="J476" s="213"/>
      <c r="K476" s="13"/>
    </row>
    <row r="477" spans="1:11" x14ac:dyDescent="0.25">
      <c r="A477" s="14" t="s">
        <v>112</v>
      </c>
      <c r="B477" s="2" t="s">
        <v>69</v>
      </c>
      <c r="C477" s="5">
        <f>(C472+C473+C474+C475)/20</f>
        <v>0.45</v>
      </c>
      <c r="D477" s="4">
        <f>Salarios!$M$15</f>
        <v>0</v>
      </c>
      <c r="E477" s="13">
        <f>C477*D477</f>
        <v>0</v>
      </c>
      <c r="G477" s="14" t="s">
        <v>112</v>
      </c>
      <c r="H477" s="2" t="s">
        <v>69</v>
      </c>
      <c r="I477" s="5">
        <f>(I472+I473+I474+I475)/20</f>
        <v>0.4</v>
      </c>
      <c r="J477" s="4">
        <f>Salarios!$M$15</f>
        <v>0</v>
      </c>
      <c r="K477" s="13">
        <f>I477*J477</f>
        <v>0</v>
      </c>
    </row>
    <row r="478" spans="1:11" x14ac:dyDescent="0.25">
      <c r="A478" s="14" t="s">
        <v>58</v>
      </c>
      <c r="B478" s="2" t="s">
        <v>69</v>
      </c>
      <c r="C478" s="5">
        <f>(C472+C473+C474+C475)/60</f>
        <v>0.15</v>
      </c>
      <c r="D478" s="4">
        <f>Salarios!$M$26</f>
        <v>0</v>
      </c>
      <c r="E478" s="13">
        <f>C478*D478</f>
        <v>0</v>
      </c>
      <c r="G478" s="14" t="s">
        <v>58</v>
      </c>
      <c r="H478" s="2" t="s">
        <v>69</v>
      </c>
      <c r="I478" s="5">
        <f>(I472+I473+I474+I475)/60</f>
        <v>0.13333333333333333</v>
      </c>
      <c r="J478" s="4">
        <f>Salarios!$M$26</f>
        <v>0</v>
      </c>
      <c r="K478" s="13">
        <f>I478*J478</f>
        <v>0</v>
      </c>
    </row>
    <row r="479" spans="1:11" x14ac:dyDescent="0.25">
      <c r="A479" s="205" t="s">
        <v>65</v>
      </c>
      <c r="B479" s="206"/>
      <c r="C479" s="206"/>
      <c r="D479" s="206"/>
      <c r="E479" s="13">
        <f>SUM(E472:E478)</f>
        <v>0</v>
      </c>
      <c r="G479" s="205" t="s">
        <v>65</v>
      </c>
      <c r="H479" s="206"/>
      <c r="I479" s="206"/>
      <c r="J479" s="206"/>
      <c r="K479" s="13">
        <f>SUM(K472:K478)</f>
        <v>0</v>
      </c>
    </row>
    <row r="480" spans="1:11" x14ac:dyDescent="0.25">
      <c r="A480" s="14" t="s">
        <v>66</v>
      </c>
      <c r="B480" s="2" t="s">
        <v>71</v>
      </c>
      <c r="C480" s="6">
        <v>0.04</v>
      </c>
      <c r="D480" s="4">
        <f>E479</f>
        <v>0</v>
      </c>
      <c r="E480" s="13">
        <f>C480*D480</f>
        <v>0</v>
      </c>
      <c r="G480" s="14" t="s">
        <v>66</v>
      </c>
      <c r="H480" s="2" t="s">
        <v>71</v>
      </c>
      <c r="I480" s="6">
        <v>0.04</v>
      </c>
      <c r="J480" s="4">
        <f>K479</f>
        <v>0</v>
      </c>
      <c r="K480" s="13">
        <f>I480*J480</f>
        <v>0</v>
      </c>
    </row>
    <row r="481" spans="1:11" ht="13.8" thickBot="1" x14ac:dyDescent="0.3">
      <c r="A481" s="207" t="s">
        <v>64</v>
      </c>
      <c r="B481" s="208"/>
      <c r="C481" s="208"/>
      <c r="D481" s="208"/>
      <c r="E481" s="15">
        <f>SUM(E479:E480)</f>
        <v>0</v>
      </c>
      <c r="G481" s="207" t="s">
        <v>64</v>
      </c>
      <c r="H481" s="208"/>
      <c r="I481" s="208"/>
      <c r="J481" s="208"/>
      <c r="K481" s="15">
        <f>SUM(K479:K480)</f>
        <v>0</v>
      </c>
    </row>
    <row r="483" spans="1:11" ht="13.8" thickBot="1" x14ac:dyDescent="0.3"/>
    <row r="484" spans="1:11" x14ac:dyDescent="0.25">
      <c r="A484" s="209" t="s">
        <v>148</v>
      </c>
      <c r="B484" s="210"/>
      <c r="C484" s="210"/>
      <c r="D484" s="210"/>
      <c r="E484" s="211"/>
      <c r="G484" s="209" t="s">
        <v>153</v>
      </c>
      <c r="H484" s="210"/>
      <c r="I484" s="210"/>
      <c r="J484" s="210"/>
      <c r="K484" s="211"/>
    </row>
    <row r="485" spans="1:11" x14ac:dyDescent="0.25">
      <c r="A485" s="10" t="s">
        <v>59</v>
      </c>
      <c r="B485" s="1" t="s">
        <v>60</v>
      </c>
      <c r="C485" s="1" t="s">
        <v>61</v>
      </c>
      <c r="D485" s="1" t="s">
        <v>10</v>
      </c>
      <c r="E485" s="11" t="s">
        <v>62</v>
      </c>
      <c r="G485" s="10" t="s">
        <v>59</v>
      </c>
      <c r="H485" s="1" t="s">
        <v>60</v>
      </c>
      <c r="I485" s="1" t="s">
        <v>61</v>
      </c>
      <c r="J485" s="1" t="s">
        <v>10</v>
      </c>
      <c r="K485" s="11" t="s">
        <v>62</v>
      </c>
    </row>
    <row r="486" spans="1:11" x14ac:dyDescent="0.25">
      <c r="A486" s="14" t="s">
        <v>131</v>
      </c>
      <c r="B486" s="2" t="s">
        <v>69</v>
      </c>
      <c r="C486" s="3">
        <v>1</v>
      </c>
      <c r="D486" s="4">
        <f>Salarios!$M$31</f>
        <v>0</v>
      </c>
      <c r="E486" s="13">
        <f>C486*D486</f>
        <v>0</v>
      </c>
      <c r="G486" s="14" t="s">
        <v>154</v>
      </c>
      <c r="H486" s="2" t="s">
        <v>69</v>
      </c>
      <c r="I486" s="3">
        <v>1</v>
      </c>
      <c r="J486" s="4">
        <f>Salarios!$M$30</f>
        <v>0</v>
      </c>
      <c r="K486" s="13">
        <f>I486*J486</f>
        <v>0</v>
      </c>
    </row>
    <row r="487" spans="1:11" x14ac:dyDescent="0.25">
      <c r="A487" s="12" t="s">
        <v>11</v>
      </c>
      <c r="B487" s="2" t="s">
        <v>69</v>
      </c>
      <c r="C487" s="3">
        <v>9</v>
      </c>
      <c r="D487" s="4">
        <f>Salarios!$M$39</f>
        <v>0</v>
      </c>
      <c r="E487" s="13">
        <f>C487*D487</f>
        <v>0</v>
      </c>
      <c r="G487" s="12" t="s">
        <v>79</v>
      </c>
      <c r="H487" s="2" t="s">
        <v>69</v>
      </c>
      <c r="I487" s="3">
        <v>1</v>
      </c>
      <c r="J487" s="4">
        <f>Salarios!$M$11</f>
        <v>0</v>
      </c>
      <c r="K487" s="13">
        <f>I487*J487</f>
        <v>0</v>
      </c>
    </row>
    <row r="488" spans="1:11" x14ac:dyDescent="0.25">
      <c r="A488" s="14" t="s">
        <v>39</v>
      </c>
      <c r="B488" s="2" t="s">
        <v>69</v>
      </c>
      <c r="C488" s="3">
        <v>1</v>
      </c>
      <c r="D488" s="4">
        <f>Salarios!$M$50</f>
        <v>0</v>
      </c>
      <c r="E488" s="13">
        <f>C488*D488</f>
        <v>0</v>
      </c>
      <c r="G488" s="12"/>
      <c r="H488" s="2"/>
      <c r="I488" s="3"/>
      <c r="J488" s="4"/>
      <c r="K488" s="13">
        <f>I488*J488</f>
        <v>0</v>
      </c>
    </row>
    <row r="489" spans="1:11" x14ac:dyDescent="0.25">
      <c r="A489" s="14"/>
      <c r="B489" s="2"/>
      <c r="C489" s="3"/>
      <c r="D489" s="4"/>
      <c r="E489" s="13">
        <f>C489*D489</f>
        <v>0</v>
      </c>
      <c r="G489" s="14"/>
      <c r="H489" s="2"/>
      <c r="I489" s="3"/>
      <c r="J489" s="4"/>
      <c r="K489" s="13">
        <f>I489*J489</f>
        <v>0</v>
      </c>
    </row>
    <row r="490" spans="1:11" x14ac:dyDescent="0.25">
      <c r="A490" s="212" t="s">
        <v>63</v>
      </c>
      <c r="B490" s="213"/>
      <c r="C490" s="213"/>
      <c r="D490" s="213"/>
      <c r="E490" s="13"/>
      <c r="G490" s="212" t="s">
        <v>63</v>
      </c>
      <c r="H490" s="213"/>
      <c r="I490" s="213"/>
      <c r="J490" s="213"/>
      <c r="K490" s="13"/>
    </row>
    <row r="491" spans="1:11" x14ac:dyDescent="0.25">
      <c r="A491" s="14" t="s">
        <v>70</v>
      </c>
      <c r="B491" s="2" t="s">
        <v>69</v>
      </c>
      <c r="C491" s="5">
        <f>(C486+C487+C488+C489)/20</f>
        <v>0.55000000000000004</v>
      </c>
      <c r="D491" s="4">
        <f>Salarios!$M$16</f>
        <v>0</v>
      </c>
      <c r="E491" s="13">
        <f>C491*D491</f>
        <v>0</v>
      </c>
      <c r="G491" s="14" t="s">
        <v>112</v>
      </c>
      <c r="H491" s="2" t="s">
        <v>69</v>
      </c>
      <c r="I491" s="5">
        <f>(I486+I487+I488+I489)/20</f>
        <v>0.1</v>
      </c>
      <c r="J491" s="4">
        <f>Salarios!$M$15</f>
        <v>0</v>
      </c>
      <c r="K491" s="13">
        <f>I491*J491</f>
        <v>0</v>
      </c>
    </row>
    <row r="492" spans="1:11" x14ac:dyDescent="0.25">
      <c r="A492" s="14" t="s">
        <v>58</v>
      </c>
      <c r="B492" s="2" t="s">
        <v>69</v>
      </c>
      <c r="C492" s="5">
        <f>(C486+C487+C488+C489)/60</f>
        <v>0.18333333333333332</v>
      </c>
      <c r="D492" s="4">
        <f>Salarios!$M$26</f>
        <v>0</v>
      </c>
      <c r="E492" s="13">
        <f>C492*D492</f>
        <v>0</v>
      </c>
      <c r="G492" s="14" t="s">
        <v>58</v>
      </c>
      <c r="H492" s="2" t="s">
        <v>69</v>
      </c>
      <c r="I492" s="5">
        <f>(I486+I487+I488+I489)/60</f>
        <v>3.3333333333333333E-2</v>
      </c>
      <c r="J492" s="4">
        <f>Salarios!$M$26</f>
        <v>0</v>
      </c>
      <c r="K492" s="13">
        <f>I492*J492</f>
        <v>0</v>
      </c>
    </row>
    <row r="493" spans="1:11" x14ac:dyDescent="0.25">
      <c r="A493" s="205" t="s">
        <v>65</v>
      </c>
      <c r="B493" s="206"/>
      <c r="C493" s="206"/>
      <c r="D493" s="206"/>
      <c r="E493" s="13">
        <f>SUM(E486:E492)</f>
        <v>0</v>
      </c>
      <c r="G493" s="205" t="s">
        <v>65</v>
      </c>
      <c r="H493" s="206"/>
      <c r="I493" s="206"/>
      <c r="J493" s="206"/>
      <c r="K493" s="13">
        <f>SUM(K486:K492)</f>
        <v>0</v>
      </c>
    </row>
    <row r="494" spans="1:11" x14ac:dyDescent="0.25">
      <c r="A494" s="14" t="s">
        <v>66</v>
      </c>
      <c r="B494" s="2" t="s">
        <v>71</v>
      </c>
      <c r="C494" s="6">
        <v>0.04</v>
      </c>
      <c r="D494" s="4">
        <f>E493</f>
        <v>0</v>
      </c>
      <c r="E494" s="13">
        <f>C494*D494</f>
        <v>0</v>
      </c>
      <c r="G494" s="14" t="s">
        <v>66</v>
      </c>
      <c r="H494" s="2" t="s">
        <v>71</v>
      </c>
      <c r="I494" s="6">
        <v>0.04</v>
      </c>
      <c r="J494" s="4">
        <f>K493</f>
        <v>0</v>
      </c>
      <c r="K494" s="13">
        <f>I494*J494</f>
        <v>0</v>
      </c>
    </row>
    <row r="495" spans="1:11" ht="13.8" thickBot="1" x14ac:dyDescent="0.3">
      <c r="A495" s="207" t="s">
        <v>64</v>
      </c>
      <c r="B495" s="208"/>
      <c r="C495" s="208"/>
      <c r="D495" s="208"/>
      <c r="E495" s="15">
        <f>SUM(E493:E494)</f>
        <v>0</v>
      </c>
      <c r="G495" s="207" t="s">
        <v>64</v>
      </c>
      <c r="H495" s="208"/>
      <c r="I495" s="208"/>
      <c r="J495" s="208"/>
      <c r="K495" s="15">
        <f>SUM(K493:K494)</f>
        <v>0</v>
      </c>
    </row>
    <row r="497" spans="1:5" ht="13.8" thickBot="1" x14ac:dyDescent="0.3"/>
    <row r="498" spans="1:5" x14ac:dyDescent="0.25">
      <c r="A498" s="209" t="s">
        <v>155</v>
      </c>
      <c r="B498" s="210"/>
      <c r="C498" s="210"/>
      <c r="D498" s="210"/>
      <c r="E498" s="211"/>
    </row>
    <row r="499" spans="1:5" x14ac:dyDescent="0.25">
      <c r="A499" s="10" t="s">
        <v>59</v>
      </c>
      <c r="B499" s="1" t="s">
        <v>60</v>
      </c>
      <c r="C499" s="1" t="s">
        <v>61</v>
      </c>
      <c r="D499" s="1" t="s">
        <v>10</v>
      </c>
      <c r="E499" s="11" t="s">
        <v>62</v>
      </c>
    </row>
    <row r="500" spans="1:5" x14ac:dyDescent="0.25">
      <c r="A500" s="14" t="s">
        <v>154</v>
      </c>
      <c r="B500" s="2" t="s">
        <v>69</v>
      </c>
      <c r="C500" s="3">
        <v>1</v>
      </c>
      <c r="D500" s="4">
        <f>Salarios!$M$30</f>
        <v>0</v>
      </c>
      <c r="E500" s="13">
        <f>C500*D500</f>
        <v>0</v>
      </c>
    </row>
    <row r="501" spans="1:5" x14ac:dyDescent="0.25">
      <c r="A501" s="12" t="s">
        <v>79</v>
      </c>
      <c r="B501" s="2" t="s">
        <v>69</v>
      </c>
      <c r="C501" s="3">
        <v>1</v>
      </c>
      <c r="D501" s="4">
        <f>Salarios!$M$11</f>
        <v>0</v>
      </c>
      <c r="E501" s="13">
        <f>C501*D501</f>
        <v>0</v>
      </c>
    </row>
    <row r="502" spans="1:5" x14ac:dyDescent="0.25">
      <c r="A502" s="12" t="s">
        <v>11</v>
      </c>
      <c r="B502" s="2" t="s">
        <v>69</v>
      </c>
      <c r="C502" s="3">
        <v>1</v>
      </c>
      <c r="D502" s="4">
        <f>Salarios!$M$39</f>
        <v>0</v>
      </c>
      <c r="E502" s="13">
        <f>C502*D502</f>
        <v>0</v>
      </c>
    </row>
    <row r="503" spans="1:5" x14ac:dyDescent="0.25">
      <c r="A503" s="14"/>
      <c r="B503" s="2"/>
      <c r="C503" s="3"/>
      <c r="D503" s="4"/>
      <c r="E503" s="13">
        <f>C503*D503</f>
        <v>0</v>
      </c>
    </row>
    <row r="504" spans="1:5" x14ac:dyDescent="0.25">
      <c r="A504" s="212" t="s">
        <v>63</v>
      </c>
      <c r="B504" s="213"/>
      <c r="C504" s="213"/>
      <c r="D504" s="213"/>
      <c r="E504" s="13"/>
    </row>
    <row r="505" spans="1:5" x14ac:dyDescent="0.25">
      <c r="A505" s="14" t="s">
        <v>112</v>
      </c>
      <c r="B505" s="2" t="s">
        <v>69</v>
      </c>
      <c r="C505" s="5">
        <f>(C500+C501+C502+C503)/20</f>
        <v>0.15</v>
      </c>
      <c r="D505" s="4">
        <f>Salarios!$M$15</f>
        <v>0</v>
      </c>
      <c r="E505" s="13">
        <f>C505*D505</f>
        <v>0</v>
      </c>
    </row>
    <row r="506" spans="1:5" x14ac:dyDescent="0.25">
      <c r="A506" s="14" t="s">
        <v>58</v>
      </c>
      <c r="B506" s="2" t="s">
        <v>69</v>
      </c>
      <c r="C506" s="5">
        <f>(C500+C501+C502+C503)/60</f>
        <v>0.05</v>
      </c>
      <c r="D506" s="4">
        <f>Salarios!$M$26</f>
        <v>0</v>
      </c>
      <c r="E506" s="13">
        <f>C506*D506</f>
        <v>0</v>
      </c>
    </row>
    <row r="507" spans="1:5" x14ac:dyDescent="0.25">
      <c r="A507" s="205" t="s">
        <v>65</v>
      </c>
      <c r="B507" s="206"/>
      <c r="C507" s="206"/>
      <c r="D507" s="206"/>
      <c r="E507" s="13">
        <f>SUM(E500:E506)</f>
        <v>0</v>
      </c>
    </row>
    <row r="508" spans="1:5" x14ac:dyDescent="0.25">
      <c r="A508" s="14" t="s">
        <v>66</v>
      </c>
      <c r="B508" s="2" t="s">
        <v>71</v>
      </c>
      <c r="C508" s="6">
        <v>0.04</v>
      </c>
      <c r="D508" s="4">
        <f>E507</f>
        <v>0</v>
      </c>
      <c r="E508" s="13">
        <f>C508*D508</f>
        <v>0</v>
      </c>
    </row>
    <row r="509" spans="1:5" ht="13.8" thickBot="1" x14ac:dyDescent="0.3">
      <c r="A509" s="207" t="s">
        <v>64</v>
      </c>
      <c r="B509" s="208"/>
      <c r="C509" s="208"/>
      <c r="D509" s="208"/>
      <c r="E509" s="15">
        <f>SUM(E507:E508)</f>
        <v>0</v>
      </c>
    </row>
    <row r="511" spans="1:5" ht="13.8" thickBot="1" x14ac:dyDescent="0.3"/>
    <row r="512" spans="1:5" x14ac:dyDescent="0.25">
      <c r="A512" s="209" t="s">
        <v>156</v>
      </c>
      <c r="B512" s="210"/>
      <c r="C512" s="210"/>
      <c r="D512" s="210"/>
      <c r="E512" s="211"/>
    </row>
    <row r="513" spans="1:5" x14ac:dyDescent="0.25">
      <c r="A513" s="10" t="s">
        <v>59</v>
      </c>
      <c r="B513" s="1" t="s">
        <v>60</v>
      </c>
      <c r="C513" s="1" t="s">
        <v>61</v>
      </c>
      <c r="D513" s="1" t="s">
        <v>10</v>
      </c>
      <c r="E513" s="11" t="s">
        <v>62</v>
      </c>
    </row>
    <row r="514" spans="1:5" x14ac:dyDescent="0.25">
      <c r="A514" s="14" t="s">
        <v>40</v>
      </c>
      <c r="B514" s="2" t="s">
        <v>69</v>
      </c>
      <c r="C514" s="3">
        <v>1</v>
      </c>
      <c r="D514" s="4">
        <f>Salarios!$M$13</f>
        <v>0</v>
      </c>
      <c r="E514" s="13">
        <f>C514*D514</f>
        <v>0</v>
      </c>
    </row>
    <row r="515" spans="1:5" x14ac:dyDescent="0.25">
      <c r="A515" s="12" t="s">
        <v>82</v>
      </c>
      <c r="B515" s="2" t="s">
        <v>69</v>
      </c>
      <c r="C515" s="3">
        <v>1</v>
      </c>
      <c r="D515" s="4">
        <f>Salarios!$M$10</f>
        <v>0</v>
      </c>
      <c r="E515" s="13">
        <f>C515*D515</f>
        <v>0</v>
      </c>
    </row>
    <row r="516" spans="1:5" x14ac:dyDescent="0.25">
      <c r="A516" s="14"/>
      <c r="B516" s="2"/>
      <c r="C516" s="3"/>
      <c r="D516" s="4"/>
      <c r="E516" s="13">
        <f>C516*D516</f>
        <v>0</v>
      </c>
    </row>
    <row r="517" spans="1:5" x14ac:dyDescent="0.25">
      <c r="A517" s="14"/>
      <c r="B517" s="2"/>
      <c r="C517" s="3"/>
      <c r="D517" s="4"/>
      <c r="E517" s="13">
        <f>C517*D517</f>
        <v>0</v>
      </c>
    </row>
    <row r="518" spans="1:5" x14ac:dyDescent="0.25">
      <c r="A518" s="212" t="s">
        <v>63</v>
      </c>
      <c r="B518" s="213"/>
      <c r="C518" s="213"/>
      <c r="D518" s="213"/>
      <c r="E518" s="13"/>
    </row>
    <row r="519" spans="1:5" x14ac:dyDescent="0.25">
      <c r="A519" s="14" t="s">
        <v>112</v>
      </c>
      <c r="B519" s="2" t="s">
        <v>69</v>
      </c>
      <c r="C519" s="5">
        <f>(C514+C515+C516+C517)/20</f>
        <v>0.1</v>
      </c>
      <c r="D519" s="4">
        <f>Salarios!$M$15</f>
        <v>0</v>
      </c>
      <c r="E519" s="13">
        <f>C519*D519</f>
        <v>0</v>
      </c>
    </row>
    <row r="520" spans="1:5" x14ac:dyDescent="0.25">
      <c r="A520" s="14" t="s">
        <v>58</v>
      </c>
      <c r="B520" s="2" t="s">
        <v>69</v>
      </c>
      <c r="C520" s="5">
        <f>(C514+C515+C516+C517)/60</f>
        <v>3.3333333333333333E-2</v>
      </c>
      <c r="D520" s="4">
        <f>Salarios!$M$26</f>
        <v>0</v>
      </c>
      <c r="E520" s="13">
        <f>C520*D520</f>
        <v>0</v>
      </c>
    </row>
    <row r="521" spans="1:5" x14ac:dyDescent="0.25">
      <c r="A521" s="205" t="s">
        <v>65</v>
      </c>
      <c r="B521" s="206"/>
      <c r="C521" s="206"/>
      <c r="D521" s="206"/>
      <c r="E521" s="13">
        <f>SUM(E514:E520)</f>
        <v>0</v>
      </c>
    </row>
    <row r="522" spans="1:5" x14ac:dyDescent="0.25">
      <c r="A522" s="14" t="s">
        <v>66</v>
      </c>
      <c r="B522" s="2" t="s">
        <v>71</v>
      </c>
      <c r="C522" s="6">
        <v>0.04</v>
      </c>
      <c r="D522" s="4">
        <f>E521</f>
        <v>0</v>
      </c>
      <c r="E522" s="13">
        <f>C522*D522</f>
        <v>0</v>
      </c>
    </row>
    <row r="523" spans="1:5" ht="13.8" thickBot="1" x14ac:dyDescent="0.3">
      <c r="A523" s="207" t="s">
        <v>64</v>
      </c>
      <c r="B523" s="208"/>
      <c r="C523" s="208"/>
      <c r="D523" s="208"/>
      <c r="E523" s="15">
        <f>SUM(E521:E522)</f>
        <v>0</v>
      </c>
    </row>
  </sheetData>
  <mergeCells count="246">
    <mergeCell ref="A13:D13"/>
    <mergeCell ref="A16:D16"/>
    <mergeCell ref="A18:D18"/>
    <mergeCell ref="A27:D27"/>
    <mergeCell ref="G13:J13"/>
    <mergeCell ref="G16:J16"/>
    <mergeCell ref="G18:J18"/>
    <mergeCell ref="G27:J27"/>
    <mergeCell ref="A84:D84"/>
    <mergeCell ref="G84:J84"/>
    <mergeCell ref="A46:D46"/>
    <mergeCell ref="A55:D55"/>
    <mergeCell ref="A58:D58"/>
    <mergeCell ref="A60:D60"/>
    <mergeCell ref="A30:D30"/>
    <mergeCell ref="A32:D32"/>
    <mergeCell ref="A41:D41"/>
    <mergeCell ref="A44:D44"/>
    <mergeCell ref="A69:D69"/>
    <mergeCell ref="A72:D72"/>
    <mergeCell ref="A74:D74"/>
    <mergeCell ref="G30:J30"/>
    <mergeCell ref="G32:J32"/>
    <mergeCell ref="G41:J41"/>
    <mergeCell ref="G60:J60"/>
    <mergeCell ref="G69:J69"/>
    <mergeCell ref="G72:J72"/>
    <mergeCell ref="G74:J74"/>
    <mergeCell ref="G44:J44"/>
    <mergeCell ref="G46:J46"/>
    <mergeCell ref="G55:J55"/>
    <mergeCell ref="G58:J58"/>
    <mergeCell ref="A101:D101"/>
    <mergeCell ref="G101:J101"/>
    <mergeCell ref="A103:D103"/>
    <mergeCell ref="G103:J103"/>
    <mergeCell ref="A112:D112"/>
    <mergeCell ref="G112:J112"/>
    <mergeCell ref="A87:D87"/>
    <mergeCell ref="G87:J87"/>
    <mergeCell ref="A89:D89"/>
    <mergeCell ref="G89:J89"/>
    <mergeCell ref="A98:D98"/>
    <mergeCell ref="G98:J98"/>
    <mergeCell ref="A129:D129"/>
    <mergeCell ref="G129:J129"/>
    <mergeCell ref="A131:D131"/>
    <mergeCell ref="G131:J131"/>
    <mergeCell ref="A140:D140"/>
    <mergeCell ref="G140:J140"/>
    <mergeCell ref="A115:D115"/>
    <mergeCell ref="G115:J115"/>
    <mergeCell ref="A117:D117"/>
    <mergeCell ref="G117:J117"/>
    <mergeCell ref="A126:D126"/>
    <mergeCell ref="G126:J126"/>
    <mergeCell ref="A157:D157"/>
    <mergeCell ref="G157:J157"/>
    <mergeCell ref="A159:D159"/>
    <mergeCell ref="G159:J159"/>
    <mergeCell ref="A168:D168"/>
    <mergeCell ref="G168:J168"/>
    <mergeCell ref="A143:D143"/>
    <mergeCell ref="G143:J143"/>
    <mergeCell ref="A145:D145"/>
    <mergeCell ref="G145:J145"/>
    <mergeCell ref="A154:D154"/>
    <mergeCell ref="G154:J154"/>
    <mergeCell ref="A185:D185"/>
    <mergeCell ref="G185:J185"/>
    <mergeCell ref="A187:D187"/>
    <mergeCell ref="G187:J187"/>
    <mergeCell ref="A196:D196"/>
    <mergeCell ref="G196:J196"/>
    <mergeCell ref="A171:D171"/>
    <mergeCell ref="G171:J171"/>
    <mergeCell ref="A173:D173"/>
    <mergeCell ref="G173:J173"/>
    <mergeCell ref="A182:D182"/>
    <mergeCell ref="G182:J182"/>
    <mergeCell ref="A213:D213"/>
    <mergeCell ref="G213:J213"/>
    <mergeCell ref="A215:D215"/>
    <mergeCell ref="G215:J215"/>
    <mergeCell ref="A224:D224"/>
    <mergeCell ref="G224:J224"/>
    <mergeCell ref="A199:D199"/>
    <mergeCell ref="G199:J199"/>
    <mergeCell ref="A201:D201"/>
    <mergeCell ref="G201:J201"/>
    <mergeCell ref="A210:D210"/>
    <mergeCell ref="G210:J210"/>
    <mergeCell ref="A241:D241"/>
    <mergeCell ref="G241:J241"/>
    <mergeCell ref="A243:D243"/>
    <mergeCell ref="G243:J243"/>
    <mergeCell ref="A252:D252"/>
    <mergeCell ref="G252:J252"/>
    <mergeCell ref="A227:D227"/>
    <mergeCell ref="G227:J227"/>
    <mergeCell ref="A229:D229"/>
    <mergeCell ref="G229:J229"/>
    <mergeCell ref="A238:D238"/>
    <mergeCell ref="G238:J238"/>
    <mergeCell ref="A269:D269"/>
    <mergeCell ref="G269:J269"/>
    <mergeCell ref="A271:D271"/>
    <mergeCell ref="G271:J271"/>
    <mergeCell ref="A280:D280"/>
    <mergeCell ref="G280:J280"/>
    <mergeCell ref="A255:D255"/>
    <mergeCell ref="G255:J255"/>
    <mergeCell ref="A257:D257"/>
    <mergeCell ref="G257:J257"/>
    <mergeCell ref="A266:D266"/>
    <mergeCell ref="G266:J266"/>
    <mergeCell ref="A297:D297"/>
    <mergeCell ref="G297:J297"/>
    <mergeCell ref="A299:D299"/>
    <mergeCell ref="G299:J299"/>
    <mergeCell ref="A308:D308"/>
    <mergeCell ref="G308:J308"/>
    <mergeCell ref="A283:D283"/>
    <mergeCell ref="G283:J283"/>
    <mergeCell ref="A285:D285"/>
    <mergeCell ref="G285:J285"/>
    <mergeCell ref="A294:D294"/>
    <mergeCell ref="G294:J294"/>
    <mergeCell ref="G288:K288"/>
    <mergeCell ref="G302:K302"/>
    <mergeCell ref="A311:D311"/>
    <mergeCell ref="G311:J311"/>
    <mergeCell ref="A313:D313"/>
    <mergeCell ref="G313:J313"/>
    <mergeCell ref="A322:D322"/>
    <mergeCell ref="G322:J322"/>
    <mergeCell ref="G358:K358"/>
    <mergeCell ref="A364:D364"/>
    <mergeCell ref="G364:J364"/>
    <mergeCell ref="G316:K316"/>
    <mergeCell ref="G330:K330"/>
    <mergeCell ref="G344:K344"/>
    <mergeCell ref="A339:D339"/>
    <mergeCell ref="G339:J339"/>
    <mergeCell ref="A341:D341"/>
    <mergeCell ref="G341:J341"/>
    <mergeCell ref="A350:D350"/>
    <mergeCell ref="G350:J350"/>
    <mergeCell ref="A325:D325"/>
    <mergeCell ref="G325:J325"/>
    <mergeCell ref="A327:D327"/>
    <mergeCell ref="G327:J327"/>
    <mergeCell ref="A336:D336"/>
    <mergeCell ref="G336:J336"/>
    <mergeCell ref="A353:D353"/>
    <mergeCell ref="G353:J353"/>
    <mergeCell ref="A355:D355"/>
    <mergeCell ref="G355:J355"/>
    <mergeCell ref="A397:D397"/>
    <mergeCell ref="G397:J397"/>
    <mergeCell ref="G372:K372"/>
    <mergeCell ref="A378:D378"/>
    <mergeCell ref="G378:J378"/>
    <mergeCell ref="A381:D381"/>
    <mergeCell ref="G381:J381"/>
    <mergeCell ref="A383:D383"/>
    <mergeCell ref="G383:J383"/>
    <mergeCell ref="G411:J411"/>
    <mergeCell ref="G386:K386"/>
    <mergeCell ref="A392:D392"/>
    <mergeCell ref="G392:J392"/>
    <mergeCell ref="A395:D395"/>
    <mergeCell ref="G395:J395"/>
    <mergeCell ref="A367:D367"/>
    <mergeCell ref="G367:J367"/>
    <mergeCell ref="A369:D369"/>
    <mergeCell ref="G369:J369"/>
    <mergeCell ref="A428:E428"/>
    <mergeCell ref="G428:K428"/>
    <mergeCell ref="A434:D434"/>
    <mergeCell ref="G434:J434"/>
    <mergeCell ref="A437:D437"/>
    <mergeCell ref="G437:J437"/>
    <mergeCell ref="A425:D425"/>
    <mergeCell ref="G425:J425"/>
    <mergeCell ref="A358:E358"/>
    <mergeCell ref="A372:E372"/>
    <mergeCell ref="A386:E386"/>
    <mergeCell ref="A400:E400"/>
    <mergeCell ref="A414:E414"/>
    <mergeCell ref="G414:K414"/>
    <mergeCell ref="A420:D420"/>
    <mergeCell ref="G420:J420"/>
    <mergeCell ref="G400:K400"/>
    <mergeCell ref="A406:D406"/>
    <mergeCell ref="G406:J406"/>
    <mergeCell ref="A423:D423"/>
    <mergeCell ref="G423:J423"/>
    <mergeCell ref="A409:D409"/>
    <mergeCell ref="G409:J409"/>
    <mergeCell ref="A411:D411"/>
    <mergeCell ref="A451:D451"/>
    <mergeCell ref="G451:J451"/>
    <mergeCell ref="A453:D453"/>
    <mergeCell ref="G453:J453"/>
    <mergeCell ref="A456:E456"/>
    <mergeCell ref="G456:K456"/>
    <mergeCell ref="A439:D439"/>
    <mergeCell ref="G439:J439"/>
    <mergeCell ref="A442:E442"/>
    <mergeCell ref="G442:K442"/>
    <mergeCell ref="A448:D448"/>
    <mergeCell ref="G448:J448"/>
    <mergeCell ref="G476:J476"/>
    <mergeCell ref="A479:D479"/>
    <mergeCell ref="G479:J479"/>
    <mergeCell ref="A462:D462"/>
    <mergeCell ref="G462:J462"/>
    <mergeCell ref="A465:D465"/>
    <mergeCell ref="G465:J465"/>
    <mergeCell ref="A467:D467"/>
    <mergeCell ref="G467:J467"/>
    <mergeCell ref="A2:K2"/>
    <mergeCell ref="A3:K3"/>
    <mergeCell ref="A4:K4"/>
    <mergeCell ref="A507:D507"/>
    <mergeCell ref="A509:D509"/>
    <mergeCell ref="A512:E512"/>
    <mergeCell ref="A518:D518"/>
    <mergeCell ref="A521:D521"/>
    <mergeCell ref="A523:D523"/>
    <mergeCell ref="A493:D493"/>
    <mergeCell ref="G493:J493"/>
    <mergeCell ref="A495:D495"/>
    <mergeCell ref="G495:J495"/>
    <mergeCell ref="A498:E498"/>
    <mergeCell ref="A504:D504"/>
    <mergeCell ref="A481:D481"/>
    <mergeCell ref="G481:J481"/>
    <mergeCell ref="A484:E484"/>
    <mergeCell ref="G484:K484"/>
    <mergeCell ref="A490:D490"/>
    <mergeCell ref="G490:J490"/>
    <mergeCell ref="A470:E470"/>
    <mergeCell ref="G470:K470"/>
    <mergeCell ref="A476:D476"/>
  </mergeCells>
  <phoneticPr fontId="0" type="noConversion"/>
  <pageMargins left="0.43" right="0.51" top="0.79" bottom="1" header="0" footer="0"/>
  <pageSetup scale="75" orientation="portrait" horizontalDpi="4294967293" verticalDpi="0" r:id="rId1"/>
  <headerFooter alignWithMargins="0"/>
  <rowBreaks count="7" manualBreakCount="7">
    <brk id="75" max="10" man="1"/>
    <brk id="146" max="10" man="1"/>
    <brk id="216" max="10" man="1"/>
    <brk id="286" max="10" man="1"/>
    <brk id="356" max="10" man="1"/>
    <brk id="426" max="10" man="1"/>
    <brk id="49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</sheetPr>
  <dimension ref="A1:M38"/>
  <sheetViews>
    <sheetView topLeftCell="A16" zoomScaleNormal="100" workbookViewId="0">
      <selection activeCell="B25" sqref="B25"/>
    </sheetView>
  </sheetViews>
  <sheetFormatPr baseColWidth="10" defaultRowHeight="13.2" x14ac:dyDescent="0.25"/>
  <cols>
    <col min="1" max="1" width="49.44140625" customWidth="1"/>
    <col min="2" max="2" width="22.6640625" style="70" customWidth="1"/>
    <col min="3" max="3" width="11.44140625" style="69"/>
    <col min="5" max="5" width="32.109375" customWidth="1"/>
    <col min="6" max="6" width="12.21875" customWidth="1"/>
    <col min="8" max="8" width="14.5546875" customWidth="1"/>
  </cols>
  <sheetData>
    <row r="1" spans="1:13" ht="23.4" x14ac:dyDescent="0.25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3"/>
      <c r="M2" s="3"/>
    </row>
    <row r="3" spans="1:13" x14ac:dyDescent="0.25">
      <c r="A3" s="202" t="s">
        <v>562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  <c r="L3" s="3"/>
      <c r="M3" s="3"/>
    </row>
    <row r="4" spans="1:13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3"/>
      <c r="M4" s="3"/>
    </row>
    <row r="5" spans="1:13" x14ac:dyDescent="0.25">
      <c r="A5" s="223" t="s">
        <v>405</v>
      </c>
      <c r="B5" s="223"/>
      <c r="C5" s="223"/>
      <c r="D5" s="71"/>
    </row>
    <row r="6" spans="1:13" x14ac:dyDescent="0.25">
      <c r="A6" s="71"/>
      <c r="B6" s="71"/>
      <c r="C6" s="71"/>
      <c r="D6" s="71"/>
    </row>
    <row r="7" spans="1:13" ht="26.4" x14ac:dyDescent="0.25">
      <c r="A7" s="168" t="s">
        <v>273</v>
      </c>
      <c r="B7" s="168" t="s">
        <v>274</v>
      </c>
      <c r="C7" s="168" t="s">
        <v>275</v>
      </c>
      <c r="D7" s="160"/>
      <c r="E7" s="165" t="s">
        <v>355</v>
      </c>
      <c r="F7" s="165" t="s">
        <v>60</v>
      </c>
      <c r="G7" s="166" t="s">
        <v>568</v>
      </c>
      <c r="H7" s="166" t="s">
        <v>564</v>
      </c>
      <c r="I7" s="167" t="s">
        <v>565</v>
      </c>
      <c r="J7" s="166" t="s">
        <v>566</v>
      </c>
      <c r="K7" s="166" t="s">
        <v>567</v>
      </c>
      <c r="L7" s="161"/>
    </row>
    <row r="8" spans="1:13" x14ac:dyDescent="0.25">
      <c r="A8" s="3" t="s">
        <v>276</v>
      </c>
      <c r="B8" s="4">
        <f>K8</f>
        <v>0</v>
      </c>
      <c r="C8" s="2" t="s">
        <v>277</v>
      </c>
      <c r="D8" s="71"/>
      <c r="E8" s="3" t="s">
        <v>276</v>
      </c>
      <c r="F8" s="2" t="s">
        <v>277</v>
      </c>
      <c r="G8" s="198">
        <v>0</v>
      </c>
      <c r="H8" s="198">
        <v>0</v>
      </c>
      <c r="I8" s="198">
        <v>0</v>
      </c>
      <c r="J8" s="198">
        <v>0</v>
      </c>
      <c r="K8" s="4">
        <f>SUM(G8:J8)</f>
        <v>0</v>
      </c>
    </row>
    <row r="9" spans="1:13" x14ac:dyDescent="0.25">
      <c r="A9" s="3" t="s">
        <v>278</v>
      </c>
      <c r="B9" s="4">
        <f t="shared" ref="B9:B17" si="0">K9</f>
        <v>0</v>
      </c>
      <c r="C9" s="2" t="s">
        <v>277</v>
      </c>
      <c r="D9" s="71"/>
      <c r="E9" s="3" t="s">
        <v>278</v>
      </c>
      <c r="F9" s="2" t="s">
        <v>277</v>
      </c>
      <c r="G9" s="198">
        <v>0</v>
      </c>
      <c r="H9" s="198">
        <v>0</v>
      </c>
      <c r="I9" s="198">
        <v>0</v>
      </c>
      <c r="J9" s="198">
        <v>0</v>
      </c>
      <c r="K9" s="4">
        <f t="shared" ref="K9:K38" si="1">SUM(G9:J9)</f>
        <v>0</v>
      </c>
    </row>
    <row r="10" spans="1:13" x14ac:dyDescent="0.25">
      <c r="A10" s="3" t="s">
        <v>279</v>
      </c>
      <c r="B10" s="4">
        <f t="shared" si="0"/>
        <v>0</v>
      </c>
      <c r="C10" s="2" t="s">
        <v>277</v>
      </c>
      <c r="D10" s="71"/>
      <c r="E10" s="3" t="s">
        <v>279</v>
      </c>
      <c r="F10" s="2" t="s">
        <v>277</v>
      </c>
      <c r="G10" s="198">
        <v>0</v>
      </c>
      <c r="H10" s="198">
        <v>0</v>
      </c>
      <c r="I10" s="198">
        <v>0</v>
      </c>
      <c r="J10" s="198">
        <v>0</v>
      </c>
      <c r="K10" s="4">
        <f t="shared" si="1"/>
        <v>0</v>
      </c>
    </row>
    <row r="11" spans="1:13" x14ac:dyDescent="0.25">
      <c r="A11" s="3" t="s">
        <v>280</v>
      </c>
      <c r="B11" s="4">
        <f t="shared" si="0"/>
        <v>0</v>
      </c>
      <c r="C11" s="2" t="s">
        <v>277</v>
      </c>
      <c r="D11" s="71"/>
      <c r="E11" s="3" t="s">
        <v>280</v>
      </c>
      <c r="F11" s="2" t="s">
        <v>277</v>
      </c>
      <c r="G11" s="198">
        <v>0</v>
      </c>
      <c r="H11" s="198">
        <v>0</v>
      </c>
      <c r="I11" s="198">
        <v>0</v>
      </c>
      <c r="J11" s="198">
        <v>0</v>
      </c>
      <c r="K11" s="4">
        <f t="shared" si="1"/>
        <v>0</v>
      </c>
    </row>
    <row r="12" spans="1:13" x14ac:dyDescent="0.25">
      <c r="A12" s="3" t="s">
        <v>281</v>
      </c>
      <c r="B12" s="4">
        <f t="shared" si="0"/>
        <v>0</v>
      </c>
      <c r="C12" s="2" t="s">
        <v>277</v>
      </c>
      <c r="D12" s="71"/>
      <c r="E12" s="3" t="s">
        <v>281</v>
      </c>
      <c r="F12" s="2" t="s">
        <v>277</v>
      </c>
      <c r="G12" s="198">
        <v>0</v>
      </c>
      <c r="H12" s="198">
        <v>0</v>
      </c>
      <c r="I12" s="198">
        <v>0</v>
      </c>
      <c r="J12" s="198">
        <v>0</v>
      </c>
      <c r="K12" s="4">
        <f t="shared" si="1"/>
        <v>0</v>
      </c>
    </row>
    <row r="13" spans="1:13" x14ac:dyDescent="0.25">
      <c r="A13" s="3" t="s">
        <v>282</v>
      </c>
      <c r="B13" s="4">
        <f t="shared" si="0"/>
        <v>0</v>
      </c>
      <c r="C13" s="2" t="s">
        <v>283</v>
      </c>
      <c r="D13" s="71"/>
      <c r="E13" s="3" t="s">
        <v>282</v>
      </c>
      <c r="F13" s="2" t="s">
        <v>283</v>
      </c>
      <c r="G13" s="198">
        <v>0</v>
      </c>
      <c r="H13" s="198">
        <v>0</v>
      </c>
      <c r="I13" s="198">
        <v>0</v>
      </c>
      <c r="J13" s="198">
        <v>0</v>
      </c>
      <c r="K13" s="4">
        <f t="shared" si="1"/>
        <v>0</v>
      </c>
    </row>
    <row r="14" spans="1:13" x14ac:dyDescent="0.25">
      <c r="A14" s="3" t="s">
        <v>284</v>
      </c>
      <c r="B14" s="4">
        <f t="shared" si="0"/>
        <v>0</v>
      </c>
      <c r="C14" s="2" t="s">
        <v>285</v>
      </c>
      <c r="D14" s="71"/>
      <c r="E14" s="3" t="s">
        <v>284</v>
      </c>
      <c r="F14" s="2" t="s">
        <v>285</v>
      </c>
      <c r="G14" s="198">
        <v>0</v>
      </c>
      <c r="H14" s="198">
        <v>0</v>
      </c>
      <c r="I14" s="198">
        <v>0</v>
      </c>
      <c r="J14" s="198">
        <v>0</v>
      </c>
      <c r="K14" s="4">
        <f t="shared" si="1"/>
        <v>0</v>
      </c>
    </row>
    <row r="15" spans="1:13" x14ac:dyDescent="0.25">
      <c r="A15" s="3" t="s">
        <v>286</v>
      </c>
      <c r="B15" s="4">
        <f t="shared" si="0"/>
        <v>0</v>
      </c>
      <c r="C15" s="2" t="s">
        <v>285</v>
      </c>
      <c r="D15" s="71"/>
      <c r="E15" s="3" t="s">
        <v>286</v>
      </c>
      <c r="F15" s="2" t="s">
        <v>285</v>
      </c>
      <c r="G15" s="198">
        <v>0</v>
      </c>
      <c r="H15" s="198">
        <v>0</v>
      </c>
      <c r="I15" s="198">
        <v>0</v>
      </c>
      <c r="J15" s="198">
        <v>0</v>
      </c>
      <c r="K15" s="4">
        <f t="shared" si="1"/>
        <v>0</v>
      </c>
    </row>
    <row r="16" spans="1:13" x14ac:dyDescent="0.25">
      <c r="A16" s="3" t="s">
        <v>287</v>
      </c>
      <c r="B16" s="4">
        <f t="shared" si="0"/>
        <v>0</v>
      </c>
      <c r="C16" s="2" t="s">
        <v>285</v>
      </c>
      <c r="D16" s="71"/>
      <c r="E16" s="3" t="s">
        <v>287</v>
      </c>
      <c r="F16" s="2" t="s">
        <v>285</v>
      </c>
      <c r="G16" s="198">
        <v>0</v>
      </c>
      <c r="H16" s="198">
        <v>0</v>
      </c>
      <c r="I16" s="198">
        <v>0</v>
      </c>
      <c r="J16" s="198">
        <v>0</v>
      </c>
      <c r="K16" s="4">
        <f t="shared" si="1"/>
        <v>0</v>
      </c>
    </row>
    <row r="17" spans="1:11" x14ac:dyDescent="0.25">
      <c r="A17" s="3" t="s">
        <v>288</v>
      </c>
      <c r="B17" s="4">
        <f t="shared" si="0"/>
        <v>0</v>
      </c>
      <c r="C17" s="2" t="s">
        <v>285</v>
      </c>
      <c r="D17" s="71"/>
      <c r="E17" s="3" t="s">
        <v>288</v>
      </c>
      <c r="F17" s="2" t="s">
        <v>285</v>
      </c>
      <c r="G17" s="198">
        <v>0</v>
      </c>
      <c r="H17" s="198">
        <v>0</v>
      </c>
      <c r="I17" s="198">
        <v>0</v>
      </c>
      <c r="J17" s="198">
        <v>0</v>
      </c>
      <c r="K17" s="4">
        <f t="shared" si="1"/>
        <v>0</v>
      </c>
    </row>
    <row r="18" spans="1:11" x14ac:dyDescent="0.25">
      <c r="A18" s="3"/>
      <c r="B18" s="4"/>
      <c r="C18" s="2"/>
      <c r="D18" s="71"/>
      <c r="E18" s="3"/>
      <c r="F18" s="2"/>
      <c r="G18" s="3"/>
      <c r="H18" s="3"/>
      <c r="I18" s="3"/>
      <c r="J18" s="3"/>
      <c r="K18" s="4"/>
    </row>
    <row r="19" spans="1:11" x14ac:dyDescent="0.25">
      <c r="A19" s="162" t="s">
        <v>406</v>
      </c>
      <c r="B19" s="4">
        <f>K19</f>
        <v>0</v>
      </c>
      <c r="C19" s="2" t="s">
        <v>411</v>
      </c>
      <c r="E19" s="162" t="s">
        <v>406</v>
      </c>
      <c r="F19" s="2" t="s">
        <v>411</v>
      </c>
      <c r="G19" s="198">
        <v>0</v>
      </c>
      <c r="H19" s="198">
        <v>0</v>
      </c>
      <c r="I19" s="198">
        <v>0</v>
      </c>
      <c r="J19" s="198">
        <v>0</v>
      </c>
      <c r="K19" s="4">
        <f t="shared" si="1"/>
        <v>0</v>
      </c>
    </row>
    <row r="20" spans="1:11" x14ac:dyDescent="0.25">
      <c r="A20" s="162" t="s">
        <v>407</v>
      </c>
      <c r="B20" s="4">
        <f t="shared" ref="B20:B22" si="2">K20</f>
        <v>0</v>
      </c>
      <c r="C20" s="2" t="s">
        <v>411</v>
      </c>
      <c r="E20" s="162" t="s">
        <v>407</v>
      </c>
      <c r="F20" s="2" t="s">
        <v>411</v>
      </c>
      <c r="G20" s="198">
        <v>0</v>
      </c>
      <c r="H20" s="198">
        <v>0</v>
      </c>
      <c r="I20" s="198">
        <v>0</v>
      </c>
      <c r="J20" s="198">
        <v>0</v>
      </c>
      <c r="K20" s="4">
        <f t="shared" si="1"/>
        <v>0</v>
      </c>
    </row>
    <row r="21" spans="1:11" x14ac:dyDescent="0.25">
      <c r="A21" s="162" t="s">
        <v>408</v>
      </c>
      <c r="B21" s="4">
        <f t="shared" si="2"/>
        <v>0</v>
      </c>
      <c r="C21" s="2" t="s">
        <v>411</v>
      </c>
      <c r="E21" s="162" t="s">
        <v>408</v>
      </c>
      <c r="F21" s="2" t="s">
        <v>411</v>
      </c>
      <c r="G21" s="198">
        <v>0</v>
      </c>
      <c r="H21" s="198">
        <v>0</v>
      </c>
      <c r="I21" s="198">
        <v>0</v>
      </c>
      <c r="J21" s="198">
        <v>0</v>
      </c>
      <c r="K21" s="4">
        <f t="shared" si="1"/>
        <v>0</v>
      </c>
    </row>
    <row r="22" spans="1:11" x14ac:dyDescent="0.25">
      <c r="A22" s="162" t="s">
        <v>409</v>
      </c>
      <c r="B22" s="4">
        <f t="shared" si="2"/>
        <v>0</v>
      </c>
      <c r="C22" s="2" t="s">
        <v>411</v>
      </c>
      <c r="E22" s="162" t="s">
        <v>409</v>
      </c>
      <c r="F22" s="2" t="s">
        <v>411</v>
      </c>
      <c r="G22" s="198">
        <v>0</v>
      </c>
      <c r="H22" s="198">
        <v>0</v>
      </c>
      <c r="I22" s="198">
        <v>0</v>
      </c>
      <c r="J22" s="198">
        <v>0</v>
      </c>
      <c r="K22" s="4">
        <f t="shared" si="1"/>
        <v>0</v>
      </c>
    </row>
    <row r="23" spans="1:11" x14ac:dyDescent="0.25">
      <c r="A23" s="3"/>
      <c r="B23" s="4"/>
      <c r="C23" s="2"/>
      <c r="E23" s="3"/>
      <c r="F23" s="2"/>
      <c r="G23" s="3"/>
      <c r="H23" s="3"/>
      <c r="I23" s="3"/>
      <c r="J23" s="3"/>
      <c r="K23" s="4"/>
    </row>
    <row r="24" spans="1:11" x14ac:dyDescent="0.25">
      <c r="A24" s="3" t="s">
        <v>410</v>
      </c>
      <c r="B24" s="163">
        <v>0</v>
      </c>
      <c r="C24" s="2"/>
      <c r="E24" s="3"/>
      <c r="F24" s="2"/>
      <c r="G24" s="3"/>
      <c r="H24" s="3"/>
      <c r="I24" s="3"/>
      <c r="J24" s="3"/>
      <c r="K24" s="4"/>
    </row>
    <row r="25" spans="1:11" x14ac:dyDescent="0.25">
      <c r="A25" s="3"/>
      <c r="B25" s="163"/>
      <c r="C25" s="2"/>
      <c r="E25" s="3"/>
      <c r="F25" s="2"/>
      <c r="G25" s="3"/>
      <c r="H25" s="3"/>
      <c r="I25" s="3"/>
      <c r="J25" s="3"/>
      <c r="K25" s="4"/>
    </row>
    <row r="26" spans="1:11" x14ac:dyDescent="0.25">
      <c r="A26" s="3"/>
      <c r="B26" s="164"/>
      <c r="C26" s="2"/>
      <c r="E26" s="3"/>
      <c r="F26" s="2"/>
      <c r="G26" s="3"/>
      <c r="H26" s="3"/>
      <c r="I26" s="3"/>
      <c r="J26" s="3"/>
      <c r="K26" s="4"/>
    </row>
    <row r="27" spans="1:11" x14ac:dyDescent="0.25">
      <c r="A27" s="3" t="s">
        <v>520</v>
      </c>
      <c r="B27" s="4">
        <f>K27</f>
        <v>0</v>
      </c>
      <c r="C27" s="2" t="s">
        <v>532</v>
      </c>
      <c r="E27" s="3" t="s">
        <v>520</v>
      </c>
      <c r="F27" s="2" t="s">
        <v>532</v>
      </c>
      <c r="G27" s="198">
        <v>0</v>
      </c>
      <c r="H27" s="198">
        <v>0</v>
      </c>
      <c r="I27" s="198">
        <v>0</v>
      </c>
      <c r="J27" s="198">
        <v>0</v>
      </c>
      <c r="K27" s="4">
        <f t="shared" si="1"/>
        <v>0</v>
      </c>
    </row>
    <row r="28" spans="1:11" x14ac:dyDescent="0.25">
      <c r="A28" s="3" t="s">
        <v>521</v>
      </c>
      <c r="B28" s="4">
        <f t="shared" ref="B28:B38" si="3">K28</f>
        <v>0</v>
      </c>
      <c r="C28" s="2" t="s">
        <v>532</v>
      </c>
      <c r="E28" s="3" t="s">
        <v>521</v>
      </c>
      <c r="F28" s="2" t="s">
        <v>532</v>
      </c>
      <c r="G28" s="198">
        <v>0</v>
      </c>
      <c r="H28" s="198">
        <v>0</v>
      </c>
      <c r="I28" s="198">
        <v>0</v>
      </c>
      <c r="J28" s="198">
        <v>0</v>
      </c>
      <c r="K28" s="4">
        <f t="shared" si="1"/>
        <v>0</v>
      </c>
    </row>
    <row r="29" spans="1:11" x14ac:dyDescent="0.25">
      <c r="A29" s="3" t="s">
        <v>522</v>
      </c>
      <c r="B29" s="4">
        <f t="shared" si="3"/>
        <v>0</v>
      </c>
      <c r="C29" s="2" t="s">
        <v>532</v>
      </c>
      <c r="E29" s="3" t="s">
        <v>522</v>
      </c>
      <c r="F29" s="2" t="s">
        <v>532</v>
      </c>
      <c r="G29" s="198">
        <v>0</v>
      </c>
      <c r="H29" s="198">
        <v>0</v>
      </c>
      <c r="I29" s="198">
        <v>0</v>
      </c>
      <c r="J29" s="198">
        <v>0</v>
      </c>
      <c r="K29" s="4">
        <f t="shared" si="1"/>
        <v>0</v>
      </c>
    </row>
    <row r="30" spans="1:11" x14ac:dyDescent="0.25">
      <c r="A30" s="3" t="s">
        <v>531</v>
      </c>
      <c r="B30" s="4">
        <f t="shared" si="3"/>
        <v>0</v>
      </c>
      <c r="C30" s="2" t="s">
        <v>533</v>
      </c>
      <c r="E30" s="3" t="s">
        <v>531</v>
      </c>
      <c r="F30" s="2" t="s">
        <v>533</v>
      </c>
      <c r="G30" s="198">
        <v>0</v>
      </c>
      <c r="H30" s="198">
        <v>0</v>
      </c>
      <c r="I30" s="198">
        <v>0</v>
      </c>
      <c r="J30" s="198">
        <v>0</v>
      </c>
      <c r="K30" s="4">
        <f t="shared" si="1"/>
        <v>0</v>
      </c>
    </row>
    <row r="31" spans="1:11" x14ac:dyDescent="0.25">
      <c r="A31" s="3" t="s">
        <v>523</v>
      </c>
      <c r="B31" s="4">
        <f t="shared" si="3"/>
        <v>0</v>
      </c>
      <c r="C31" s="2" t="s">
        <v>533</v>
      </c>
      <c r="E31" s="3" t="s">
        <v>523</v>
      </c>
      <c r="F31" s="2" t="s">
        <v>533</v>
      </c>
      <c r="G31" s="198">
        <v>0</v>
      </c>
      <c r="H31" s="198">
        <v>0</v>
      </c>
      <c r="I31" s="198">
        <v>0</v>
      </c>
      <c r="J31" s="198">
        <v>0</v>
      </c>
      <c r="K31" s="4">
        <f t="shared" si="1"/>
        <v>0</v>
      </c>
    </row>
    <row r="32" spans="1:11" x14ac:dyDescent="0.25">
      <c r="A32" s="3" t="s">
        <v>524</v>
      </c>
      <c r="B32" s="4">
        <f t="shared" si="3"/>
        <v>0</v>
      </c>
      <c r="C32" s="2" t="s">
        <v>533</v>
      </c>
      <c r="E32" s="3" t="s">
        <v>524</v>
      </c>
      <c r="F32" s="2" t="s">
        <v>533</v>
      </c>
      <c r="G32" s="198">
        <v>0</v>
      </c>
      <c r="H32" s="198">
        <v>0</v>
      </c>
      <c r="I32" s="198">
        <v>0</v>
      </c>
      <c r="J32" s="198">
        <v>0</v>
      </c>
      <c r="K32" s="4">
        <f t="shared" si="1"/>
        <v>0</v>
      </c>
    </row>
    <row r="33" spans="1:11" x14ac:dyDescent="0.25">
      <c r="A33" s="3" t="s">
        <v>525</v>
      </c>
      <c r="B33" s="4">
        <f t="shared" si="3"/>
        <v>0</v>
      </c>
      <c r="C33" s="2" t="s">
        <v>533</v>
      </c>
      <c r="E33" s="3" t="s">
        <v>525</v>
      </c>
      <c r="F33" s="2" t="s">
        <v>533</v>
      </c>
      <c r="G33" s="198">
        <v>0</v>
      </c>
      <c r="H33" s="198">
        <v>0</v>
      </c>
      <c r="I33" s="198">
        <v>0</v>
      </c>
      <c r="J33" s="198">
        <v>0</v>
      </c>
      <c r="K33" s="4">
        <f t="shared" si="1"/>
        <v>0</v>
      </c>
    </row>
    <row r="34" spans="1:11" x14ac:dyDescent="0.25">
      <c r="A34" s="3" t="s">
        <v>526</v>
      </c>
      <c r="B34" s="4">
        <f t="shared" si="3"/>
        <v>0</v>
      </c>
      <c r="C34" s="2" t="s">
        <v>533</v>
      </c>
      <c r="E34" s="3" t="s">
        <v>526</v>
      </c>
      <c r="F34" s="2" t="s">
        <v>533</v>
      </c>
      <c r="G34" s="198">
        <v>0</v>
      </c>
      <c r="H34" s="198">
        <v>0</v>
      </c>
      <c r="I34" s="198">
        <v>0</v>
      </c>
      <c r="J34" s="198">
        <v>0</v>
      </c>
      <c r="K34" s="4">
        <f t="shared" si="1"/>
        <v>0</v>
      </c>
    </row>
    <row r="35" spans="1:11" x14ac:dyDescent="0.25">
      <c r="A35" s="3" t="s">
        <v>527</v>
      </c>
      <c r="B35" s="4">
        <f t="shared" si="3"/>
        <v>0</v>
      </c>
      <c r="C35" s="2" t="s">
        <v>533</v>
      </c>
      <c r="E35" s="3" t="s">
        <v>527</v>
      </c>
      <c r="F35" s="2" t="s">
        <v>533</v>
      </c>
      <c r="G35" s="198">
        <v>0</v>
      </c>
      <c r="H35" s="198">
        <v>0</v>
      </c>
      <c r="I35" s="198">
        <v>0</v>
      </c>
      <c r="J35" s="198">
        <v>0</v>
      </c>
      <c r="K35" s="4">
        <f t="shared" si="1"/>
        <v>0</v>
      </c>
    </row>
    <row r="36" spans="1:11" x14ac:dyDescent="0.25">
      <c r="A36" s="3" t="s">
        <v>528</v>
      </c>
      <c r="B36" s="4">
        <f t="shared" si="3"/>
        <v>0</v>
      </c>
      <c r="C36" s="2" t="s">
        <v>533</v>
      </c>
      <c r="E36" s="3" t="s">
        <v>528</v>
      </c>
      <c r="F36" s="2" t="s">
        <v>533</v>
      </c>
      <c r="G36" s="198">
        <v>0</v>
      </c>
      <c r="H36" s="198">
        <v>0</v>
      </c>
      <c r="I36" s="198">
        <v>0</v>
      </c>
      <c r="J36" s="198">
        <v>0</v>
      </c>
      <c r="K36" s="4">
        <f t="shared" si="1"/>
        <v>0</v>
      </c>
    </row>
    <row r="37" spans="1:11" x14ac:dyDescent="0.25">
      <c r="A37" s="3" t="s">
        <v>529</v>
      </c>
      <c r="B37" s="4">
        <f t="shared" si="3"/>
        <v>0</v>
      </c>
      <c r="C37" s="2" t="s">
        <v>533</v>
      </c>
      <c r="E37" s="3" t="s">
        <v>529</v>
      </c>
      <c r="F37" s="2" t="s">
        <v>533</v>
      </c>
      <c r="G37" s="198">
        <v>0</v>
      </c>
      <c r="H37" s="198">
        <v>0</v>
      </c>
      <c r="I37" s="198">
        <v>0</v>
      </c>
      <c r="J37" s="198">
        <v>0</v>
      </c>
      <c r="K37" s="4">
        <f t="shared" si="1"/>
        <v>0</v>
      </c>
    </row>
    <row r="38" spans="1:11" x14ac:dyDescent="0.25">
      <c r="A38" s="3" t="s">
        <v>530</v>
      </c>
      <c r="B38" s="4">
        <f t="shared" si="3"/>
        <v>0</v>
      </c>
      <c r="C38" s="2" t="s">
        <v>533</v>
      </c>
      <c r="E38" s="3" t="s">
        <v>530</v>
      </c>
      <c r="F38" s="2" t="s">
        <v>533</v>
      </c>
      <c r="G38" s="198">
        <v>0</v>
      </c>
      <c r="H38" s="198">
        <v>0</v>
      </c>
      <c r="I38" s="198">
        <v>0</v>
      </c>
      <c r="J38" s="198">
        <v>0</v>
      </c>
      <c r="K38" s="4">
        <f t="shared" si="1"/>
        <v>0</v>
      </c>
    </row>
  </sheetData>
  <mergeCells count="5">
    <mergeCell ref="A1:M1"/>
    <mergeCell ref="A2:K2"/>
    <mergeCell ref="A3:K3"/>
    <mergeCell ref="A4:K4"/>
    <mergeCell ref="A5:C5"/>
  </mergeCells>
  <phoneticPr fontId="0" type="noConversion"/>
  <pageMargins left="0.75" right="0.75" top="1" bottom="1" header="0" footer="0"/>
  <pageSetup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I522"/>
  <sheetViews>
    <sheetView topLeftCell="A11" zoomScaleNormal="100" workbookViewId="0">
      <selection activeCell="J14" sqref="J14"/>
    </sheetView>
  </sheetViews>
  <sheetFormatPr baseColWidth="10" defaultRowHeight="13.2" x14ac:dyDescent="0.25"/>
  <cols>
    <col min="1" max="1" width="13.33203125" customWidth="1"/>
    <col min="7" max="7" width="12.88671875" customWidth="1"/>
  </cols>
  <sheetData>
    <row r="1" spans="1:9" ht="23.4" x14ac:dyDescent="0.25">
      <c r="A1" s="224" t="s">
        <v>559</v>
      </c>
      <c r="B1" s="225"/>
      <c r="C1" s="225"/>
      <c r="D1" s="225"/>
      <c r="E1" s="225"/>
      <c r="F1" s="225"/>
      <c r="G1" s="225"/>
      <c r="H1" s="225"/>
      <c r="I1" s="226"/>
    </row>
    <row r="2" spans="1:9" x14ac:dyDescent="0.25">
      <c r="A2" s="202" t="s">
        <v>560</v>
      </c>
      <c r="B2" s="203"/>
      <c r="C2" s="203"/>
      <c r="D2" s="203"/>
      <c r="E2" s="203"/>
      <c r="F2" s="203"/>
      <c r="G2" s="203"/>
      <c r="H2" s="203"/>
      <c r="I2" s="204"/>
    </row>
    <row r="3" spans="1:9" x14ac:dyDescent="0.25">
      <c r="A3" s="200" t="s">
        <v>562</v>
      </c>
      <c r="B3" s="200"/>
      <c r="C3" s="200"/>
      <c r="D3" s="200"/>
      <c r="E3" s="200"/>
      <c r="F3" s="200"/>
      <c r="G3" s="200"/>
      <c r="H3" s="200"/>
      <c r="I3" s="200"/>
    </row>
    <row r="4" spans="1:9" x14ac:dyDescent="0.25">
      <c r="A4" s="202" t="s">
        <v>561</v>
      </c>
      <c r="B4" s="203"/>
      <c r="C4" s="203"/>
      <c r="D4" s="203"/>
      <c r="E4" s="203"/>
      <c r="F4" s="203"/>
      <c r="G4" s="203"/>
      <c r="H4" s="203"/>
      <c r="I4" s="204"/>
    </row>
    <row r="5" spans="1:9" x14ac:dyDescent="0.25">
      <c r="A5" s="19"/>
      <c r="B5" s="19"/>
      <c r="C5" s="19"/>
      <c r="D5" s="19"/>
      <c r="E5" s="19"/>
      <c r="F5" s="19"/>
      <c r="G5" s="19"/>
      <c r="H5" s="19"/>
      <c r="I5" s="19"/>
    </row>
    <row r="6" spans="1:9" ht="13.8" thickBot="1" x14ac:dyDescent="0.3">
      <c r="A6" s="20"/>
      <c r="B6" s="20"/>
      <c r="C6" s="20"/>
      <c r="D6" s="20"/>
      <c r="E6" s="20"/>
      <c r="F6" s="20"/>
      <c r="G6" s="20"/>
      <c r="H6" s="20"/>
      <c r="I6" s="20"/>
    </row>
    <row r="7" spans="1:9" ht="13.8" x14ac:dyDescent="0.3">
      <c r="A7" s="227" t="s">
        <v>157</v>
      </c>
      <c r="B7" s="228"/>
      <c r="C7" s="228"/>
      <c r="D7" s="228"/>
      <c r="E7" s="228"/>
      <c r="F7" s="228"/>
      <c r="G7" s="228"/>
      <c r="H7" s="228"/>
      <c r="I7" s="229"/>
    </row>
    <row r="8" spans="1:9" ht="13.8" x14ac:dyDescent="0.3">
      <c r="A8" s="230" t="s">
        <v>158</v>
      </c>
      <c r="B8" s="231"/>
      <c r="C8" s="231"/>
      <c r="D8" s="231"/>
      <c r="E8" s="231"/>
      <c r="F8" s="231"/>
      <c r="G8" s="231"/>
      <c r="H8" s="231"/>
      <c r="I8" s="232"/>
    </row>
    <row r="9" spans="1:9" ht="13.8" x14ac:dyDescent="0.3">
      <c r="A9" s="21"/>
      <c r="B9" s="22"/>
      <c r="C9" s="22"/>
      <c r="D9" s="22"/>
      <c r="E9" s="22"/>
      <c r="F9" s="22"/>
      <c r="G9" s="22"/>
      <c r="H9" s="22"/>
      <c r="I9" s="23"/>
    </row>
    <row r="10" spans="1:9" ht="13.8" x14ac:dyDescent="0.3">
      <c r="A10" s="24" t="s">
        <v>159</v>
      </c>
      <c r="B10" s="25" t="s">
        <v>160</v>
      </c>
      <c r="C10" s="186">
        <v>745800</v>
      </c>
      <c r="D10" s="25" t="s">
        <v>161</v>
      </c>
      <c r="E10" s="25" t="s">
        <v>162</v>
      </c>
      <c r="F10" s="186">
        <v>1680</v>
      </c>
      <c r="G10" s="25" t="s">
        <v>163</v>
      </c>
      <c r="H10" s="26" t="s">
        <v>164</v>
      </c>
      <c r="I10" s="27">
        <v>200</v>
      </c>
    </row>
    <row r="11" spans="1:9" ht="13.8" x14ac:dyDescent="0.3">
      <c r="A11" s="28" t="s">
        <v>165</v>
      </c>
      <c r="B11" s="29"/>
      <c r="C11" s="187"/>
      <c r="D11" s="29" t="s">
        <v>166</v>
      </c>
      <c r="E11" s="29"/>
      <c r="F11" s="187"/>
      <c r="G11" s="29" t="s">
        <v>167</v>
      </c>
      <c r="H11" s="30"/>
      <c r="I11" s="193"/>
    </row>
    <row r="12" spans="1:9" ht="13.8" x14ac:dyDescent="0.3">
      <c r="A12" s="21" t="s">
        <v>168</v>
      </c>
      <c r="B12" s="32" t="s">
        <v>169</v>
      </c>
      <c r="C12" s="188">
        <v>0</v>
      </c>
      <c r="D12" s="34" t="s">
        <v>170</v>
      </c>
      <c r="E12" s="25" t="s">
        <v>171</v>
      </c>
      <c r="F12" s="186">
        <v>122.8</v>
      </c>
      <c r="G12" s="22" t="s">
        <v>172</v>
      </c>
      <c r="H12" s="26" t="s">
        <v>173</v>
      </c>
      <c r="I12" s="194">
        <v>3.5799999999999998E-3</v>
      </c>
    </row>
    <row r="13" spans="1:9" ht="13.8" x14ac:dyDescent="0.3">
      <c r="A13" s="28" t="s">
        <v>174</v>
      </c>
      <c r="B13" s="35"/>
      <c r="C13" s="189"/>
      <c r="D13" s="36"/>
      <c r="E13" s="29"/>
      <c r="F13" s="191"/>
      <c r="G13" s="29"/>
      <c r="H13" s="30"/>
      <c r="I13" s="193"/>
    </row>
    <row r="14" spans="1:9" ht="13.8" x14ac:dyDescent="0.3">
      <c r="A14" s="24" t="s">
        <v>175</v>
      </c>
      <c r="B14" s="38" t="s">
        <v>176</v>
      </c>
      <c r="C14" s="190">
        <v>13800</v>
      </c>
      <c r="D14" s="34" t="s">
        <v>170</v>
      </c>
      <c r="E14" s="25" t="s">
        <v>177</v>
      </c>
      <c r="F14" s="192">
        <v>61.4</v>
      </c>
      <c r="G14" s="25" t="s">
        <v>178</v>
      </c>
      <c r="H14" s="26" t="s">
        <v>179</v>
      </c>
      <c r="I14" s="194">
        <f>'Precios de Mat.'!$B$22</f>
        <v>0</v>
      </c>
    </row>
    <row r="15" spans="1:9" ht="13.8" x14ac:dyDescent="0.3">
      <c r="A15" s="28" t="s">
        <v>180</v>
      </c>
      <c r="B15" s="35"/>
      <c r="C15" s="189"/>
      <c r="D15" s="36" t="s">
        <v>181</v>
      </c>
      <c r="E15" s="29"/>
      <c r="F15" s="187"/>
      <c r="G15" s="29" t="s">
        <v>172</v>
      </c>
      <c r="H15" s="30"/>
      <c r="I15" s="193"/>
    </row>
    <row r="16" spans="1:9" ht="13.8" x14ac:dyDescent="0.3">
      <c r="A16" s="24" t="s">
        <v>182</v>
      </c>
      <c r="B16" s="38" t="s">
        <v>183</v>
      </c>
      <c r="C16" s="190">
        <v>724000</v>
      </c>
      <c r="D16" s="33" t="s">
        <v>184</v>
      </c>
      <c r="E16" s="22" t="s">
        <v>185</v>
      </c>
      <c r="F16" s="191">
        <v>244.3</v>
      </c>
      <c r="G16" s="25" t="s">
        <v>186</v>
      </c>
      <c r="H16" s="26" t="s">
        <v>187</v>
      </c>
      <c r="I16" s="195">
        <f>'Precios de Mat.'!$B$24</f>
        <v>0</v>
      </c>
    </row>
    <row r="17" spans="1:9" ht="13.8" x14ac:dyDescent="0.3">
      <c r="A17" s="28" t="s">
        <v>188</v>
      </c>
      <c r="B17" s="35"/>
      <c r="C17" s="189"/>
      <c r="D17" s="33" t="s">
        <v>189</v>
      </c>
      <c r="E17" s="22"/>
      <c r="F17" s="187"/>
      <c r="G17" s="29" t="s">
        <v>190</v>
      </c>
      <c r="H17" s="30"/>
      <c r="I17" s="193"/>
    </row>
    <row r="18" spans="1:9" ht="13.8" x14ac:dyDescent="0.3">
      <c r="A18" s="24" t="s">
        <v>175</v>
      </c>
      <c r="B18" s="38" t="s">
        <v>191</v>
      </c>
      <c r="C18" s="190">
        <v>149160</v>
      </c>
      <c r="D18" s="34" t="s">
        <v>192</v>
      </c>
      <c r="E18" s="25" t="s">
        <v>193</v>
      </c>
      <c r="F18" s="186">
        <v>0.15140000000000001</v>
      </c>
      <c r="G18" s="25" t="s">
        <v>194</v>
      </c>
      <c r="H18" s="26" t="s">
        <v>195</v>
      </c>
      <c r="I18" s="194">
        <v>0.01</v>
      </c>
    </row>
    <row r="19" spans="1:9" ht="13.8" x14ac:dyDescent="0.3">
      <c r="A19" s="28" t="s">
        <v>196</v>
      </c>
      <c r="B19" s="35"/>
      <c r="C19" s="189"/>
      <c r="D19" s="36"/>
      <c r="E19" s="29"/>
      <c r="F19" s="187"/>
      <c r="G19" s="29" t="s">
        <v>197</v>
      </c>
      <c r="H19" s="30"/>
      <c r="I19" s="193"/>
    </row>
    <row r="20" spans="1:9" ht="13.8" x14ac:dyDescent="0.3">
      <c r="A20" s="21" t="s">
        <v>198</v>
      </c>
      <c r="B20" s="32" t="s">
        <v>199</v>
      </c>
      <c r="C20" s="188">
        <v>8400</v>
      </c>
      <c r="D20" s="34" t="s">
        <v>159</v>
      </c>
      <c r="E20" s="25" t="s">
        <v>200</v>
      </c>
      <c r="F20" s="186">
        <f>'Precios de Mat.'!$B$19</f>
        <v>0</v>
      </c>
      <c r="G20" s="25" t="s">
        <v>201</v>
      </c>
      <c r="H20" s="26" t="s">
        <v>202</v>
      </c>
      <c r="I20" s="194">
        <v>0.8</v>
      </c>
    </row>
    <row r="21" spans="1:9" ht="13.8" x14ac:dyDescent="0.3">
      <c r="A21" s="28" t="s">
        <v>203</v>
      </c>
      <c r="B21" s="35"/>
      <c r="C21" s="189"/>
      <c r="D21" s="36" t="s">
        <v>192</v>
      </c>
      <c r="E21" s="29"/>
      <c r="F21" s="187"/>
      <c r="G21" s="29" t="s">
        <v>204</v>
      </c>
      <c r="H21" s="30"/>
      <c r="I21" s="193"/>
    </row>
    <row r="22" spans="1:9" ht="13.8" x14ac:dyDescent="0.3">
      <c r="A22" s="24" t="s">
        <v>198</v>
      </c>
      <c r="B22" s="38" t="s">
        <v>205</v>
      </c>
      <c r="C22" s="190">
        <v>1800</v>
      </c>
      <c r="D22" s="33" t="s">
        <v>206</v>
      </c>
      <c r="E22" s="22" t="s">
        <v>207</v>
      </c>
      <c r="F22" s="191">
        <v>7</v>
      </c>
      <c r="G22" s="25" t="s">
        <v>201</v>
      </c>
      <c r="H22" s="37" t="s">
        <v>208</v>
      </c>
      <c r="I22" s="196">
        <v>0.5</v>
      </c>
    </row>
    <row r="23" spans="1:9" ht="13.8" x14ac:dyDescent="0.3">
      <c r="A23" s="28" t="s">
        <v>209</v>
      </c>
      <c r="B23" s="35"/>
      <c r="C23" s="189"/>
      <c r="D23" s="36" t="s">
        <v>210</v>
      </c>
      <c r="E23" s="29"/>
      <c r="F23" s="187"/>
      <c r="G23" s="29" t="s">
        <v>211</v>
      </c>
      <c r="H23" s="30"/>
      <c r="I23" s="197"/>
    </row>
    <row r="24" spans="1:9" ht="13.8" x14ac:dyDescent="0.3">
      <c r="A24" s="42" t="s">
        <v>212</v>
      </c>
      <c r="B24" s="22"/>
      <c r="C24" s="22"/>
      <c r="D24" s="22"/>
      <c r="E24" s="22"/>
      <c r="F24" s="22"/>
      <c r="G24" s="22"/>
      <c r="H24" s="22"/>
      <c r="I24" s="23"/>
    </row>
    <row r="25" spans="1:9" ht="13.8" x14ac:dyDescent="0.3">
      <c r="A25" s="43"/>
      <c r="B25" s="25"/>
      <c r="C25" s="25"/>
      <c r="D25" s="25"/>
      <c r="E25" s="25"/>
      <c r="F25" s="25"/>
      <c r="G25" s="25"/>
      <c r="H25" s="26"/>
      <c r="I25" s="44"/>
    </row>
    <row r="26" spans="1:9" ht="13.8" x14ac:dyDescent="0.3">
      <c r="A26" s="45"/>
      <c r="B26" s="22" t="s">
        <v>213</v>
      </c>
      <c r="C26" s="22"/>
      <c r="D26" s="22" t="s">
        <v>214</v>
      </c>
      <c r="E26" s="22" t="s">
        <v>215</v>
      </c>
      <c r="F26" s="22">
        <v>4200</v>
      </c>
      <c r="G26" s="46" t="s">
        <v>216</v>
      </c>
      <c r="H26" s="37"/>
      <c r="I26" s="47">
        <f>(C16-C18)/C20</f>
        <v>68.433333333333337</v>
      </c>
    </row>
    <row r="27" spans="1:9" ht="13.8" x14ac:dyDescent="0.3">
      <c r="A27" s="45" t="s">
        <v>217</v>
      </c>
      <c r="B27" s="22" t="s">
        <v>218</v>
      </c>
      <c r="C27" s="22"/>
      <c r="D27" s="22" t="s">
        <v>219</v>
      </c>
      <c r="E27" s="48" t="s">
        <v>220</v>
      </c>
      <c r="F27" s="22"/>
      <c r="G27" s="22" t="s">
        <v>221</v>
      </c>
      <c r="H27" s="37"/>
      <c r="I27" s="47">
        <f>(((C16+C18)/(2*F10))*I16)</f>
        <v>0</v>
      </c>
    </row>
    <row r="28" spans="1:9" ht="13.8" x14ac:dyDescent="0.3">
      <c r="A28" s="45" t="s">
        <v>222</v>
      </c>
      <c r="B28" s="22" t="s">
        <v>223</v>
      </c>
      <c r="C28" s="22"/>
      <c r="D28" s="22" t="s">
        <v>224</v>
      </c>
      <c r="E28" s="22" t="s">
        <v>225</v>
      </c>
      <c r="F28" s="49" t="s">
        <v>226</v>
      </c>
      <c r="G28" s="46" t="s">
        <v>216</v>
      </c>
      <c r="H28" s="37"/>
      <c r="I28" s="47">
        <f>(C16+C18)/2*(I18/F10)</f>
        <v>2.5986904761904763</v>
      </c>
    </row>
    <row r="29" spans="1:9" ht="13.8" x14ac:dyDescent="0.3">
      <c r="A29" s="50"/>
      <c r="B29" s="22" t="s">
        <v>227</v>
      </c>
      <c r="C29" s="22"/>
      <c r="D29" s="22"/>
      <c r="E29" s="22">
        <v>0.8</v>
      </c>
      <c r="F29" s="51">
        <v>68.430000000000007</v>
      </c>
      <c r="G29" s="46" t="s">
        <v>216</v>
      </c>
      <c r="H29" s="37"/>
      <c r="I29" s="47">
        <f>(I20*I26)</f>
        <v>54.74666666666667</v>
      </c>
    </row>
    <row r="30" spans="1:9" ht="13.8" x14ac:dyDescent="0.3">
      <c r="A30" s="52"/>
      <c r="B30" s="22"/>
      <c r="C30" s="22"/>
      <c r="D30" s="22"/>
      <c r="E30" s="22"/>
      <c r="F30" s="22"/>
      <c r="G30" s="22"/>
      <c r="H30" s="37" t="s">
        <v>228</v>
      </c>
      <c r="I30" s="53">
        <f>SUM(I26,I27,I28,I29,)</f>
        <v>125.77869047619048</v>
      </c>
    </row>
    <row r="31" spans="1:9" ht="13.8" x14ac:dyDescent="0.3">
      <c r="A31" s="24"/>
      <c r="B31" s="34"/>
      <c r="C31" s="25"/>
      <c r="D31" s="25"/>
      <c r="E31" s="25"/>
      <c r="F31" s="25"/>
      <c r="G31" s="38"/>
      <c r="H31" s="38"/>
      <c r="I31" s="44"/>
    </row>
    <row r="32" spans="1:9" ht="13.8" x14ac:dyDescent="0.3">
      <c r="A32" s="21"/>
      <c r="B32" s="33" t="s">
        <v>229</v>
      </c>
      <c r="C32" s="22"/>
      <c r="D32" s="22">
        <v>0.2271</v>
      </c>
      <c r="E32" s="22">
        <v>6</v>
      </c>
      <c r="F32" s="26">
        <f>'Precios de Mat.'!$B$19</f>
        <v>0</v>
      </c>
      <c r="G32" s="32"/>
      <c r="H32" s="54"/>
      <c r="I32" s="55">
        <f>F18*F14*F20</f>
        <v>0</v>
      </c>
    </row>
    <row r="33" spans="1:9" ht="13.8" x14ac:dyDescent="0.3">
      <c r="A33" s="21" t="s">
        <v>230</v>
      </c>
      <c r="B33" s="33" t="s">
        <v>231</v>
      </c>
      <c r="C33" s="22"/>
      <c r="D33" s="22" t="s">
        <v>232</v>
      </c>
      <c r="E33" s="22"/>
      <c r="F33" s="22"/>
      <c r="G33" s="32"/>
      <c r="H33" s="32"/>
      <c r="I33" s="56">
        <f>(F22/I10*I14+H33)+(I12*F14*I14)</f>
        <v>0</v>
      </c>
    </row>
    <row r="34" spans="1:9" ht="13.8" x14ac:dyDescent="0.3">
      <c r="A34" s="21" t="s">
        <v>233</v>
      </c>
      <c r="B34" s="33" t="s">
        <v>234</v>
      </c>
      <c r="C34" s="22"/>
      <c r="D34" s="22" t="s">
        <v>235</v>
      </c>
      <c r="E34" s="22">
        <v>0</v>
      </c>
      <c r="F34" s="22"/>
      <c r="G34" s="32"/>
      <c r="H34" s="32"/>
      <c r="I34" s="55">
        <f>C14/C22</f>
        <v>7.666666666666667</v>
      </c>
    </row>
    <row r="35" spans="1:9" ht="13.8" x14ac:dyDescent="0.3">
      <c r="A35" s="28"/>
      <c r="B35" s="36"/>
      <c r="C35" s="29"/>
      <c r="D35" s="29"/>
      <c r="E35" s="29"/>
      <c r="F35" s="29"/>
      <c r="G35" s="35"/>
      <c r="H35" s="35" t="s">
        <v>228</v>
      </c>
      <c r="I35" s="53">
        <f>SUM(I32:I34)</f>
        <v>7.666666666666667</v>
      </c>
    </row>
    <row r="36" spans="1:9" ht="13.8" x14ac:dyDescent="0.3">
      <c r="A36" s="57"/>
      <c r="B36" s="22"/>
      <c r="C36" s="22"/>
      <c r="D36" s="22"/>
      <c r="E36" s="22"/>
      <c r="F36" s="22"/>
      <c r="G36" s="22"/>
      <c r="H36" s="37"/>
      <c r="I36" s="58"/>
    </row>
    <row r="37" spans="1:9" ht="13.8" x14ac:dyDescent="0.3">
      <c r="A37" s="50"/>
      <c r="B37" s="22"/>
      <c r="C37" s="22"/>
      <c r="D37" s="22"/>
      <c r="E37" s="22"/>
      <c r="F37" s="22"/>
      <c r="G37" s="22"/>
      <c r="H37" s="37"/>
      <c r="I37" s="59"/>
    </row>
    <row r="38" spans="1:9" ht="13.8" x14ac:dyDescent="0.3">
      <c r="A38" s="50" t="s">
        <v>236</v>
      </c>
      <c r="B38" s="22"/>
      <c r="C38" s="22" t="s">
        <v>237</v>
      </c>
      <c r="D38" s="22"/>
      <c r="E38" s="22"/>
      <c r="F38" s="22"/>
      <c r="G38" s="22"/>
      <c r="H38" s="60" t="s">
        <v>238</v>
      </c>
      <c r="I38" s="61">
        <f>F16/F10*286.25</f>
        <v>41.625520833333333</v>
      </c>
    </row>
    <row r="39" spans="1:9" ht="13.8" x14ac:dyDescent="0.3">
      <c r="A39" s="52" t="s">
        <v>239</v>
      </c>
      <c r="B39" s="29"/>
      <c r="C39" s="29"/>
      <c r="D39" s="29"/>
      <c r="E39" s="29"/>
      <c r="F39" s="29"/>
      <c r="G39" s="29"/>
      <c r="H39" s="30"/>
      <c r="I39" s="41"/>
    </row>
    <row r="40" spans="1:9" ht="14.4" thickBot="1" x14ac:dyDescent="0.35">
      <c r="A40" s="62"/>
      <c r="B40" s="63"/>
      <c r="C40" s="63"/>
      <c r="D40" s="63"/>
      <c r="E40" s="63"/>
      <c r="F40" s="63" t="s">
        <v>240</v>
      </c>
      <c r="G40" s="63"/>
      <c r="H40" s="64" t="s">
        <v>241</v>
      </c>
      <c r="I40" s="65">
        <f>SUM(I30,I35,I38,)</f>
        <v>175.07087797619047</v>
      </c>
    </row>
    <row r="41" spans="1:9" ht="13.8" x14ac:dyDescent="0.3">
      <c r="A41" s="22"/>
      <c r="B41" s="22"/>
      <c r="C41" s="22"/>
      <c r="D41" s="22"/>
      <c r="E41" s="22"/>
      <c r="F41" s="22"/>
      <c r="G41" s="22"/>
      <c r="H41" s="22"/>
      <c r="I41" s="66"/>
    </row>
    <row r="42" spans="1:9" ht="13.8" x14ac:dyDescent="0.3">
      <c r="A42" s="67"/>
      <c r="B42" s="67"/>
      <c r="C42" s="67"/>
      <c r="D42" s="67"/>
      <c r="E42" s="67"/>
      <c r="F42" s="67"/>
      <c r="G42" s="67"/>
      <c r="H42" s="67"/>
      <c r="I42" s="20"/>
    </row>
    <row r="43" spans="1:9" ht="14.4" thickBot="1" x14ac:dyDescent="0.35">
      <c r="A43" s="67"/>
      <c r="B43" s="67"/>
      <c r="C43" s="67"/>
      <c r="D43" s="67"/>
      <c r="E43" s="67"/>
      <c r="F43" s="67"/>
      <c r="G43" s="67"/>
      <c r="H43" s="67"/>
      <c r="I43" s="20"/>
    </row>
    <row r="44" spans="1:9" ht="13.8" x14ac:dyDescent="0.3">
      <c r="A44" s="227" t="s">
        <v>242</v>
      </c>
      <c r="B44" s="228"/>
      <c r="C44" s="228" t="s">
        <v>243</v>
      </c>
      <c r="D44" s="228"/>
      <c r="E44" s="228"/>
      <c r="F44" s="228"/>
      <c r="G44" s="228"/>
      <c r="H44" s="228"/>
      <c r="I44" s="229"/>
    </row>
    <row r="45" spans="1:9" ht="13.8" x14ac:dyDescent="0.3">
      <c r="A45" s="230" t="s">
        <v>404</v>
      </c>
      <c r="B45" s="231"/>
      <c r="C45" s="231"/>
      <c r="D45" s="231"/>
      <c r="E45" s="231"/>
      <c r="F45" s="231"/>
      <c r="G45" s="231"/>
      <c r="H45" s="231"/>
      <c r="I45" s="232"/>
    </row>
    <row r="46" spans="1:9" ht="13.8" x14ac:dyDescent="0.3">
      <c r="A46" s="21"/>
      <c r="B46" s="22"/>
      <c r="C46" s="22"/>
      <c r="D46" s="22"/>
      <c r="E46" s="22"/>
      <c r="F46" s="22"/>
      <c r="G46" s="22"/>
      <c r="H46" s="22"/>
      <c r="I46" s="23"/>
    </row>
    <row r="47" spans="1:9" ht="13.8" x14ac:dyDescent="0.3">
      <c r="A47" s="24" t="s">
        <v>159</v>
      </c>
      <c r="B47" s="25" t="s">
        <v>160</v>
      </c>
      <c r="C47" s="26">
        <v>13000</v>
      </c>
      <c r="D47" s="25" t="s">
        <v>161</v>
      </c>
      <c r="E47" s="25" t="s">
        <v>162</v>
      </c>
      <c r="F47" s="26">
        <v>1400</v>
      </c>
      <c r="G47" s="25" t="s">
        <v>163</v>
      </c>
      <c r="H47" s="26" t="s">
        <v>164</v>
      </c>
      <c r="I47" s="27">
        <v>50</v>
      </c>
    </row>
    <row r="48" spans="1:9" ht="13.8" x14ac:dyDescent="0.3">
      <c r="A48" s="28" t="s">
        <v>165</v>
      </c>
      <c r="B48" s="29"/>
      <c r="C48" s="30"/>
      <c r="D48" s="29" t="s">
        <v>166</v>
      </c>
      <c r="E48" s="29"/>
      <c r="F48" s="30"/>
      <c r="G48" s="29" t="s">
        <v>167</v>
      </c>
      <c r="H48" s="30"/>
      <c r="I48" s="31"/>
    </row>
    <row r="49" spans="1:9" ht="13.8" x14ac:dyDescent="0.3">
      <c r="A49" s="21" t="s">
        <v>168</v>
      </c>
      <c r="B49" s="32" t="s">
        <v>169</v>
      </c>
      <c r="C49" s="33">
        <v>0</v>
      </c>
      <c r="D49" s="34" t="s">
        <v>170</v>
      </c>
      <c r="E49" s="25" t="s">
        <v>171</v>
      </c>
      <c r="F49" s="26">
        <v>8</v>
      </c>
      <c r="G49" s="22" t="s">
        <v>172</v>
      </c>
      <c r="H49" s="26" t="s">
        <v>173</v>
      </c>
      <c r="I49" s="27">
        <v>3.0699999999999998E-3</v>
      </c>
    </row>
    <row r="50" spans="1:9" ht="13.8" x14ac:dyDescent="0.3">
      <c r="A50" s="28" t="s">
        <v>174</v>
      </c>
      <c r="B50" s="35"/>
      <c r="C50" s="36"/>
      <c r="D50" s="36"/>
      <c r="E50" s="29"/>
      <c r="F50" s="37"/>
      <c r="G50" s="29"/>
      <c r="H50" s="30"/>
      <c r="I50" s="31"/>
    </row>
    <row r="51" spans="1:9" ht="13.8" x14ac:dyDescent="0.3">
      <c r="A51" s="24" t="s">
        <v>175</v>
      </c>
      <c r="B51" s="38" t="s">
        <v>176</v>
      </c>
      <c r="C51" s="34">
        <v>0</v>
      </c>
      <c r="D51" s="34" t="s">
        <v>170</v>
      </c>
      <c r="E51" s="25" t="s">
        <v>177</v>
      </c>
      <c r="F51" s="39">
        <v>6</v>
      </c>
      <c r="G51" s="25" t="s">
        <v>178</v>
      </c>
      <c r="H51" s="26" t="s">
        <v>179</v>
      </c>
      <c r="I51" s="27">
        <f>'Precios de Mat.'!$B$22</f>
        <v>0</v>
      </c>
    </row>
    <row r="52" spans="1:9" ht="13.8" x14ac:dyDescent="0.3">
      <c r="A52" s="28" t="s">
        <v>180</v>
      </c>
      <c r="B52" s="35"/>
      <c r="C52" s="36"/>
      <c r="D52" s="36" t="s">
        <v>181</v>
      </c>
      <c r="E52" s="29"/>
      <c r="F52" s="30"/>
      <c r="G52" s="29" t="s">
        <v>172</v>
      </c>
      <c r="H52" s="30"/>
      <c r="I52" s="31"/>
    </row>
    <row r="53" spans="1:9" ht="13.8" x14ac:dyDescent="0.3">
      <c r="A53" s="24" t="s">
        <v>182</v>
      </c>
      <c r="B53" s="38" t="s">
        <v>183</v>
      </c>
      <c r="C53" s="34">
        <v>13000</v>
      </c>
      <c r="D53" s="33" t="s">
        <v>184</v>
      </c>
      <c r="E53" s="22" t="s">
        <v>244</v>
      </c>
      <c r="F53" s="37">
        <v>96.447999999999993</v>
      </c>
      <c r="G53" s="25" t="s">
        <v>186</v>
      </c>
      <c r="H53" s="26" t="s">
        <v>187</v>
      </c>
      <c r="I53" s="119">
        <f>'Precios de Mat.'!$B$24</f>
        <v>0</v>
      </c>
    </row>
    <row r="54" spans="1:9" ht="13.8" x14ac:dyDescent="0.3">
      <c r="A54" s="28" t="s">
        <v>188</v>
      </c>
      <c r="B54" s="35"/>
      <c r="C54" s="36"/>
      <c r="D54" s="33" t="s">
        <v>189</v>
      </c>
      <c r="E54" s="22"/>
      <c r="F54" s="30"/>
      <c r="G54" s="29" t="s">
        <v>190</v>
      </c>
      <c r="H54" s="30"/>
      <c r="I54" s="31"/>
    </row>
    <row r="55" spans="1:9" ht="13.8" x14ac:dyDescent="0.3">
      <c r="A55" s="24" t="s">
        <v>175</v>
      </c>
      <c r="B55" s="38" t="s">
        <v>191</v>
      </c>
      <c r="C55" s="34">
        <v>11700</v>
      </c>
      <c r="D55" s="34" t="s">
        <v>192</v>
      </c>
      <c r="E55" s="25" t="s">
        <v>193</v>
      </c>
      <c r="F55" s="26">
        <v>0.2271</v>
      </c>
      <c r="G55" s="25" t="s">
        <v>194</v>
      </c>
      <c r="H55" s="26" t="s">
        <v>195</v>
      </c>
      <c r="I55" s="27">
        <v>0.01</v>
      </c>
    </row>
    <row r="56" spans="1:9" ht="13.8" x14ac:dyDescent="0.3">
      <c r="A56" s="28" t="s">
        <v>196</v>
      </c>
      <c r="B56" s="35"/>
      <c r="C56" s="36"/>
      <c r="D56" s="36"/>
      <c r="E56" s="29"/>
      <c r="F56" s="30"/>
      <c r="G56" s="29" t="s">
        <v>197</v>
      </c>
      <c r="H56" s="30"/>
      <c r="I56" s="31"/>
    </row>
    <row r="57" spans="1:9" ht="13.8" x14ac:dyDescent="0.3">
      <c r="A57" s="21" t="s">
        <v>198</v>
      </c>
      <c r="B57" s="32" t="s">
        <v>199</v>
      </c>
      <c r="C57" s="33">
        <v>4200</v>
      </c>
      <c r="D57" s="34" t="s">
        <v>159</v>
      </c>
      <c r="E57" s="25" t="s">
        <v>200</v>
      </c>
      <c r="F57" s="26">
        <f>'Precios de Mat.'!$B$19</f>
        <v>0</v>
      </c>
      <c r="G57" s="25" t="s">
        <v>201</v>
      </c>
      <c r="H57" s="26" t="s">
        <v>202</v>
      </c>
      <c r="I57" s="27">
        <v>0.9</v>
      </c>
    </row>
    <row r="58" spans="1:9" ht="13.8" x14ac:dyDescent="0.3">
      <c r="A58" s="28" t="s">
        <v>203</v>
      </c>
      <c r="B58" s="35"/>
      <c r="C58" s="36"/>
      <c r="D58" s="36" t="s">
        <v>192</v>
      </c>
      <c r="E58" s="29"/>
      <c r="F58" s="30"/>
      <c r="G58" s="29" t="s">
        <v>204</v>
      </c>
      <c r="H58" s="30"/>
      <c r="I58" s="31"/>
    </row>
    <row r="59" spans="1:9" ht="13.8" x14ac:dyDescent="0.3">
      <c r="A59" s="24" t="s">
        <v>198</v>
      </c>
      <c r="B59" s="38" t="s">
        <v>205</v>
      </c>
      <c r="C59" s="34">
        <v>0</v>
      </c>
      <c r="D59" s="33" t="s">
        <v>206</v>
      </c>
      <c r="E59" s="22" t="s">
        <v>207</v>
      </c>
      <c r="F59" s="37">
        <v>1</v>
      </c>
      <c r="G59" s="25" t="s">
        <v>201</v>
      </c>
      <c r="H59" s="37" t="s">
        <v>208</v>
      </c>
      <c r="I59" s="40">
        <v>0.75</v>
      </c>
    </row>
    <row r="60" spans="1:9" ht="13.8" x14ac:dyDescent="0.3">
      <c r="A60" s="28" t="s">
        <v>209</v>
      </c>
      <c r="B60" s="35"/>
      <c r="C60" s="36"/>
      <c r="D60" s="36" t="s">
        <v>210</v>
      </c>
      <c r="E60" s="29"/>
      <c r="F60" s="30"/>
      <c r="G60" s="29" t="s">
        <v>211</v>
      </c>
      <c r="H60" s="30"/>
      <c r="I60" s="41"/>
    </row>
    <row r="61" spans="1:9" ht="13.8" x14ac:dyDescent="0.3">
      <c r="A61" s="42" t="s">
        <v>212</v>
      </c>
      <c r="B61" s="22"/>
      <c r="C61" s="22"/>
      <c r="D61" s="22"/>
      <c r="E61" s="22"/>
      <c r="F61" s="22"/>
      <c r="G61" s="22"/>
      <c r="H61" s="22"/>
      <c r="I61" s="23"/>
    </row>
    <row r="62" spans="1:9" ht="13.8" x14ac:dyDescent="0.3">
      <c r="A62" s="43"/>
      <c r="B62" s="25"/>
      <c r="C62" s="25"/>
      <c r="D62" s="25"/>
      <c r="E62" s="25"/>
      <c r="F62" s="25"/>
      <c r="G62" s="25"/>
      <c r="H62" s="26"/>
      <c r="I62" s="44"/>
    </row>
    <row r="63" spans="1:9" ht="13.8" x14ac:dyDescent="0.3">
      <c r="A63" s="45"/>
      <c r="B63" s="22" t="s">
        <v>213</v>
      </c>
      <c r="C63" s="22"/>
      <c r="D63" s="22" t="s">
        <v>214</v>
      </c>
      <c r="E63" s="22" t="s">
        <v>215</v>
      </c>
      <c r="F63" s="22">
        <v>4200</v>
      </c>
      <c r="G63" s="46" t="s">
        <v>216</v>
      </c>
      <c r="H63" s="37"/>
      <c r="I63" s="47">
        <f>(C53-C55)/C57</f>
        <v>0.30952380952380953</v>
      </c>
    </row>
    <row r="64" spans="1:9" ht="13.8" x14ac:dyDescent="0.3">
      <c r="A64" s="45" t="s">
        <v>217</v>
      </c>
      <c r="B64" s="22" t="s">
        <v>218</v>
      </c>
      <c r="C64" s="22"/>
      <c r="D64" s="22" t="s">
        <v>219</v>
      </c>
      <c r="E64" s="48" t="s">
        <v>220</v>
      </c>
      <c r="F64" s="22"/>
      <c r="G64" s="22" t="s">
        <v>221</v>
      </c>
      <c r="H64" s="37"/>
      <c r="I64" s="47">
        <f>(((C53+C55)/(2*F47))*I53)</f>
        <v>0</v>
      </c>
    </row>
    <row r="65" spans="1:9" ht="13.8" x14ac:dyDescent="0.3">
      <c r="A65" s="45" t="s">
        <v>222</v>
      </c>
      <c r="B65" s="22" t="s">
        <v>223</v>
      </c>
      <c r="C65" s="22"/>
      <c r="D65" s="22" t="s">
        <v>224</v>
      </c>
      <c r="E65" s="22" t="s">
        <v>225</v>
      </c>
      <c r="F65" s="49" t="s">
        <v>226</v>
      </c>
      <c r="G65" s="46" t="s">
        <v>216</v>
      </c>
      <c r="H65" s="37"/>
      <c r="I65" s="47">
        <f>(C53+C55)/2*(I55/F47)</f>
        <v>8.8214285714285717E-2</v>
      </c>
    </row>
    <row r="66" spans="1:9" ht="13.8" x14ac:dyDescent="0.3">
      <c r="A66" s="50"/>
      <c r="B66" s="22" t="s">
        <v>227</v>
      </c>
      <c r="C66" s="22"/>
      <c r="D66" s="22"/>
      <c r="E66" s="22">
        <v>0.8</v>
      </c>
      <c r="F66" s="51">
        <v>68.430000000000007</v>
      </c>
      <c r="G66" s="46" t="s">
        <v>216</v>
      </c>
      <c r="H66" s="37"/>
      <c r="I66" s="47">
        <f>(I57*I63)</f>
        <v>0.27857142857142858</v>
      </c>
    </row>
    <row r="67" spans="1:9" ht="13.8" x14ac:dyDescent="0.3">
      <c r="A67" s="52"/>
      <c r="B67" s="22"/>
      <c r="C67" s="22"/>
      <c r="D67" s="22"/>
      <c r="E67" s="22"/>
      <c r="F67" s="22"/>
      <c r="G67" s="22"/>
      <c r="H67" s="37" t="s">
        <v>228</v>
      </c>
      <c r="I67" s="53">
        <f>SUM(I63,I64,I65,I66,)</f>
        <v>0.6763095238095238</v>
      </c>
    </row>
    <row r="68" spans="1:9" ht="13.8" x14ac:dyDescent="0.3">
      <c r="A68" s="24"/>
      <c r="B68" s="34"/>
      <c r="C68" s="25"/>
      <c r="D68" s="25"/>
      <c r="E68" s="25"/>
      <c r="F68" s="25"/>
      <c r="G68" s="38"/>
      <c r="H68" s="38"/>
      <c r="I68" s="44"/>
    </row>
    <row r="69" spans="1:9" ht="13.8" x14ac:dyDescent="0.3">
      <c r="A69" s="21"/>
      <c r="B69" s="33" t="s">
        <v>229</v>
      </c>
      <c r="C69" s="22"/>
      <c r="D69" s="22">
        <v>0.2271</v>
      </c>
      <c r="E69" s="22">
        <v>6</v>
      </c>
      <c r="F69" s="26">
        <f>'Precios de Mat.'!$B$19</f>
        <v>0</v>
      </c>
      <c r="G69" s="32"/>
      <c r="H69" s="54"/>
      <c r="I69" s="55">
        <f>F55*F51*F57</f>
        <v>0</v>
      </c>
    </row>
    <row r="70" spans="1:9" ht="13.8" x14ac:dyDescent="0.3">
      <c r="A70" s="21" t="s">
        <v>230</v>
      </c>
      <c r="B70" s="33" t="s">
        <v>231</v>
      </c>
      <c r="C70" s="22"/>
      <c r="D70" s="22" t="s">
        <v>232</v>
      </c>
      <c r="E70" s="22"/>
      <c r="F70" s="22"/>
      <c r="G70" s="32"/>
      <c r="H70" s="32"/>
      <c r="I70" s="56">
        <f>(F59/I47*I51+H70)+(I49*F51*I51)</f>
        <v>0</v>
      </c>
    </row>
    <row r="71" spans="1:9" ht="13.8" x14ac:dyDescent="0.3">
      <c r="A71" s="21" t="s">
        <v>233</v>
      </c>
      <c r="B71" s="33" t="s">
        <v>234</v>
      </c>
      <c r="C71" s="22"/>
      <c r="D71" s="22" t="s">
        <v>235</v>
      </c>
      <c r="E71" s="22">
        <v>0</v>
      </c>
      <c r="F71" s="22"/>
      <c r="G71" s="32"/>
      <c r="H71" s="32"/>
      <c r="I71" s="55">
        <v>0</v>
      </c>
    </row>
    <row r="72" spans="1:9" ht="13.8" x14ac:dyDescent="0.3">
      <c r="A72" s="28"/>
      <c r="B72" s="36"/>
      <c r="C72" s="29"/>
      <c r="D72" s="29"/>
      <c r="E72" s="29"/>
      <c r="F72" s="29"/>
      <c r="G72" s="35"/>
      <c r="H72" s="35" t="s">
        <v>228</v>
      </c>
      <c r="I72" s="53">
        <f>SUM(I69:I71)</f>
        <v>0</v>
      </c>
    </row>
    <row r="73" spans="1:9" ht="13.8" x14ac:dyDescent="0.3">
      <c r="A73" s="57"/>
      <c r="B73" s="22"/>
      <c r="C73" s="22"/>
      <c r="D73" s="22"/>
      <c r="E73" s="22"/>
      <c r="F73" s="22"/>
      <c r="G73" s="22"/>
      <c r="H73" s="37"/>
      <c r="I73" s="58"/>
    </row>
    <row r="74" spans="1:9" ht="13.8" x14ac:dyDescent="0.3">
      <c r="A74" s="50"/>
      <c r="B74" s="22"/>
      <c r="C74" s="22"/>
      <c r="D74" s="22"/>
      <c r="E74" s="22"/>
      <c r="F74" s="22"/>
      <c r="G74" s="22"/>
      <c r="H74" s="37"/>
      <c r="I74" s="59"/>
    </row>
    <row r="75" spans="1:9" ht="13.8" x14ac:dyDescent="0.3">
      <c r="A75" s="50" t="s">
        <v>236</v>
      </c>
      <c r="B75" s="22"/>
      <c r="C75" s="22" t="s">
        <v>237</v>
      </c>
      <c r="D75" s="22"/>
      <c r="E75" s="22"/>
      <c r="F75" s="22"/>
      <c r="G75" s="22"/>
      <c r="H75" s="60" t="s">
        <v>238</v>
      </c>
      <c r="I75" s="61">
        <f>F53/F47*286.25</f>
        <v>19.720171428571426</v>
      </c>
    </row>
    <row r="76" spans="1:9" ht="13.8" x14ac:dyDescent="0.3">
      <c r="A76" s="52" t="s">
        <v>239</v>
      </c>
      <c r="B76" s="29"/>
      <c r="C76" s="29"/>
      <c r="D76" s="29"/>
      <c r="E76" s="29"/>
      <c r="F76" s="29"/>
      <c r="G76" s="29"/>
      <c r="H76" s="30"/>
      <c r="I76" s="41"/>
    </row>
    <row r="77" spans="1:9" ht="14.4" thickBot="1" x14ac:dyDescent="0.35">
      <c r="A77" s="62"/>
      <c r="B77" s="63"/>
      <c r="C77" s="63"/>
      <c r="D77" s="63"/>
      <c r="E77" s="63"/>
      <c r="F77" s="63" t="s">
        <v>240</v>
      </c>
      <c r="G77" s="63"/>
      <c r="H77" s="64" t="s">
        <v>241</v>
      </c>
      <c r="I77" s="65">
        <f>SUM(I67,I72,I75,)</f>
        <v>20.396480952380951</v>
      </c>
    </row>
    <row r="78" spans="1:9" ht="13.8" x14ac:dyDescent="0.3">
      <c r="A78" s="22"/>
      <c r="B78" s="22"/>
      <c r="C78" s="22"/>
      <c r="D78" s="22"/>
      <c r="E78" s="22"/>
      <c r="F78" s="22"/>
      <c r="G78" s="22"/>
      <c r="H78" s="22"/>
      <c r="I78" s="66"/>
    </row>
    <row r="79" spans="1:9" ht="13.8" x14ac:dyDescent="0.3">
      <c r="A79" s="22"/>
      <c r="B79" s="22"/>
      <c r="C79" s="22"/>
      <c r="D79" s="22"/>
      <c r="E79" s="22"/>
      <c r="F79" s="22"/>
      <c r="G79" s="22"/>
      <c r="H79" s="22"/>
      <c r="I79" s="66"/>
    </row>
    <row r="80" spans="1:9" ht="14.4" thickBot="1" x14ac:dyDescent="0.35">
      <c r="A80" s="67"/>
      <c r="B80" s="67"/>
      <c r="C80" s="67"/>
      <c r="D80" s="67"/>
      <c r="E80" s="67"/>
      <c r="F80" s="67"/>
      <c r="G80" s="67"/>
      <c r="H80" s="67"/>
      <c r="I80" s="20"/>
    </row>
    <row r="81" spans="1:9" ht="13.8" x14ac:dyDescent="0.3">
      <c r="A81" s="227" t="s">
        <v>245</v>
      </c>
      <c r="B81" s="228"/>
      <c r="C81" s="228"/>
      <c r="D81" s="228"/>
      <c r="E81" s="228"/>
      <c r="F81" s="228"/>
      <c r="G81" s="228"/>
      <c r="H81" s="228"/>
      <c r="I81" s="229"/>
    </row>
    <row r="82" spans="1:9" ht="13.8" x14ac:dyDescent="0.3">
      <c r="A82" s="230" t="s">
        <v>246</v>
      </c>
      <c r="B82" s="231"/>
      <c r="C82" s="231"/>
      <c r="D82" s="231"/>
      <c r="E82" s="231"/>
      <c r="F82" s="231"/>
      <c r="G82" s="231"/>
      <c r="H82" s="231"/>
      <c r="I82" s="232"/>
    </row>
    <row r="83" spans="1:9" ht="13.8" x14ac:dyDescent="0.3">
      <c r="A83" s="21"/>
      <c r="B83" s="22"/>
      <c r="C83" s="22"/>
      <c r="D83" s="22"/>
      <c r="E83" s="22"/>
      <c r="F83" s="22"/>
      <c r="G83" s="22"/>
      <c r="H83" s="22"/>
      <c r="I83" s="23"/>
    </row>
    <row r="84" spans="1:9" ht="13.8" x14ac:dyDescent="0.3">
      <c r="A84" s="24" t="s">
        <v>159</v>
      </c>
      <c r="B84" s="25" t="s">
        <v>160</v>
      </c>
      <c r="C84" s="26">
        <v>9900</v>
      </c>
      <c r="D84" s="25" t="s">
        <v>161</v>
      </c>
      <c r="E84" s="25" t="s">
        <v>162</v>
      </c>
      <c r="F84" s="26">
        <v>1475</v>
      </c>
      <c r="G84" s="25" t="s">
        <v>163</v>
      </c>
      <c r="H84" s="26" t="s">
        <v>164</v>
      </c>
      <c r="I84" s="27">
        <v>50</v>
      </c>
    </row>
    <row r="85" spans="1:9" ht="13.8" x14ac:dyDescent="0.3">
      <c r="A85" s="28" t="s">
        <v>165</v>
      </c>
      <c r="B85" s="29"/>
      <c r="C85" s="30"/>
      <c r="D85" s="29" t="s">
        <v>166</v>
      </c>
      <c r="E85" s="29"/>
      <c r="F85" s="30"/>
      <c r="G85" s="29" t="s">
        <v>167</v>
      </c>
      <c r="H85" s="30"/>
      <c r="I85" s="31"/>
    </row>
    <row r="86" spans="1:9" ht="13.8" x14ac:dyDescent="0.3">
      <c r="A86" s="21" t="s">
        <v>168</v>
      </c>
      <c r="B86" s="32" t="s">
        <v>169</v>
      </c>
      <c r="C86" s="33">
        <v>0</v>
      </c>
      <c r="D86" s="34" t="s">
        <v>170</v>
      </c>
      <c r="E86" s="25" t="s">
        <v>171</v>
      </c>
      <c r="F86" s="26">
        <v>4</v>
      </c>
      <c r="G86" s="22" t="s">
        <v>172</v>
      </c>
      <c r="H86" s="26" t="s">
        <v>173</v>
      </c>
      <c r="I86" s="27">
        <v>3.0699999999999998E-3</v>
      </c>
    </row>
    <row r="87" spans="1:9" ht="13.8" x14ac:dyDescent="0.3">
      <c r="A87" s="28" t="s">
        <v>174</v>
      </c>
      <c r="B87" s="35"/>
      <c r="C87" s="36"/>
      <c r="D87" s="36"/>
      <c r="E87" s="29"/>
      <c r="F87" s="37"/>
      <c r="G87" s="29"/>
      <c r="H87" s="30"/>
      <c r="I87" s="31"/>
    </row>
    <row r="88" spans="1:9" ht="13.8" x14ac:dyDescent="0.3">
      <c r="A88" s="24" t="s">
        <v>175</v>
      </c>
      <c r="B88" s="38" t="s">
        <v>176</v>
      </c>
      <c r="C88" s="34">
        <v>0</v>
      </c>
      <c r="D88" s="34" t="s">
        <v>247</v>
      </c>
      <c r="E88" s="25" t="s">
        <v>177</v>
      </c>
      <c r="F88" s="39">
        <v>3</v>
      </c>
      <c r="G88" s="25" t="s">
        <v>178</v>
      </c>
      <c r="H88" s="26" t="s">
        <v>179</v>
      </c>
      <c r="I88" s="27">
        <f>'Precios de Mat.'!$B$22</f>
        <v>0</v>
      </c>
    </row>
    <row r="89" spans="1:9" ht="13.8" x14ac:dyDescent="0.3">
      <c r="A89" s="28" t="s">
        <v>180</v>
      </c>
      <c r="B89" s="35"/>
      <c r="C89" s="36"/>
      <c r="D89" s="36" t="s">
        <v>181</v>
      </c>
      <c r="E89" s="29"/>
      <c r="F89" s="30"/>
      <c r="G89" s="29" t="s">
        <v>172</v>
      </c>
      <c r="H89" s="30"/>
      <c r="I89" s="31"/>
    </row>
    <row r="90" spans="1:9" ht="13.8" x14ac:dyDescent="0.3">
      <c r="A90" s="24" t="s">
        <v>182</v>
      </c>
      <c r="B90" s="38" t="s">
        <v>183</v>
      </c>
      <c r="C90" s="34">
        <v>9900</v>
      </c>
      <c r="D90" s="33" t="s">
        <v>184</v>
      </c>
      <c r="E90" s="22" t="s">
        <v>248</v>
      </c>
      <c r="F90" s="37">
        <v>105.336</v>
      </c>
      <c r="G90" s="25" t="s">
        <v>186</v>
      </c>
      <c r="H90" s="26" t="s">
        <v>187</v>
      </c>
      <c r="I90" s="119">
        <f>'Precios de Mat.'!$B$24</f>
        <v>0</v>
      </c>
    </row>
    <row r="91" spans="1:9" ht="13.8" x14ac:dyDescent="0.3">
      <c r="A91" s="28" t="s">
        <v>188</v>
      </c>
      <c r="B91" s="35"/>
      <c r="C91" s="36"/>
      <c r="D91" s="33" t="s">
        <v>189</v>
      </c>
      <c r="E91" s="22"/>
      <c r="F91" s="30"/>
      <c r="G91" s="29" t="s">
        <v>190</v>
      </c>
      <c r="H91" s="30"/>
      <c r="I91" s="31"/>
    </row>
    <row r="92" spans="1:9" ht="13.8" x14ac:dyDescent="0.3">
      <c r="A92" s="24" t="s">
        <v>175</v>
      </c>
      <c r="B92" s="38" t="s">
        <v>191</v>
      </c>
      <c r="C92" s="34">
        <v>8910</v>
      </c>
      <c r="D92" s="34" t="s">
        <v>192</v>
      </c>
      <c r="E92" s="25" t="s">
        <v>193</v>
      </c>
      <c r="F92" s="26">
        <v>0.2271</v>
      </c>
      <c r="G92" s="25" t="s">
        <v>194</v>
      </c>
      <c r="H92" s="26" t="s">
        <v>195</v>
      </c>
      <c r="I92" s="27">
        <v>0.01</v>
      </c>
    </row>
    <row r="93" spans="1:9" ht="13.8" x14ac:dyDescent="0.3">
      <c r="A93" s="28" t="s">
        <v>196</v>
      </c>
      <c r="B93" s="35"/>
      <c r="C93" s="36"/>
      <c r="D93" s="36"/>
      <c r="E93" s="29"/>
      <c r="F93" s="30"/>
      <c r="G93" s="29" t="s">
        <v>197</v>
      </c>
      <c r="H93" s="30"/>
      <c r="I93" s="31"/>
    </row>
    <row r="94" spans="1:9" ht="13.8" x14ac:dyDescent="0.3">
      <c r="A94" s="21" t="s">
        <v>198</v>
      </c>
      <c r="B94" s="32" t="s">
        <v>199</v>
      </c>
      <c r="C94" s="33">
        <v>4425</v>
      </c>
      <c r="D94" s="34" t="s">
        <v>159</v>
      </c>
      <c r="E94" s="25" t="s">
        <v>200</v>
      </c>
      <c r="F94" s="26">
        <f>'Precios de Mat.'!$B$19</f>
        <v>0</v>
      </c>
      <c r="G94" s="25" t="s">
        <v>201</v>
      </c>
      <c r="H94" s="26" t="s">
        <v>202</v>
      </c>
      <c r="I94" s="27">
        <v>0.9</v>
      </c>
    </row>
    <row r="95" spans="1:9" ht="13.8" x14ac:dyDescent="0.3">
      <c r="A95" s="28" t="s">
        <v>203</v>
      </c>
      <c r="B95" s="35"/>
      <c r="C95" s="36"/>
      <c r="D95" s="36" t="s">
        <v>192</v>
      </c>
      <c r="E95" s="29"/>
      <c r="F95" s="30"/>
      <c r="G95" s="29" t="s">
        <v>204</v>
      </c>
      <c r="H95" s="30"/>
      <c r="I95" s="31"/>
    </row>
    <row r="96" spans="1:9" ht="13.8" x14ac:dyDescent="0.3">
      <c r="A96" s="24" t="s">
        <v>198</v>
      </c>
      <c r="B96" s="38" t="s">
        <v>205</v>
      </c>
      <c r="C96" s="34">
        <v>0</v>
      </c>
      <c r="D96" s="33" t="s">
        <v>206</v>
      </c>
      <c r="E96" s="22" t="s">
        <v>207</v>
      </c>
      <c r="F96" s="37">
        <v>1.7</v>
      </c>
      <c r="G96" s="25" t="s">
        <v>201</v>
      </c>
      <c r="H96" s="37" t="s">
        <v>208</v>
      </c>
      <c r="I96" s="40">
        <v>0.75</v>
      </c>
    </row>
    <row r="97" spans="1:9" ht="13.8" x14ac:dyDescent="0.3">
      <c r="A97" s="28" t="s">
        <v>209</v>
      </c>
      <c r="B97" s="35"/>
      <c r="C97" s="36"/>
      <c r="D97" s="36" t="s">
        <v>210</v>
      </c>
      <c r="E97" s="29"/>
      <c r="F97" s="30"/>
      <c r="G97" s="29" t="s">
        <v>211</v>
      </c>
      <c r="H97" s="30"/>
      <c r="I97" s="41"/>
    </row>
    <row r="98" spans="1:9" ht="13.8" x14ac:dyDescent="0.3">
      <c r="A98" s="42" t="s">
        <v>212</v>
      </c>
      <c r="B98" s="22"/>
      <c r="C98" s="22"/>
      <c r="D98" s="22"/>
      <c r="E98" s="22"/>
      <c r="F98" s="22"/>
      <c r="G98" s="22"/>
      <c r="H98" s="22"/>
      <c r="I98" s="23"/>
    </row>
    <row r="99" spans="1:9" ht="13.8" x14ac:dyDescent="0.3">
      <c r="A99" s="43"/>
      <c r="B99" s="25"/>
      <c r="C99" s="25"/>
      <c r="D99" s="25"/>
      <c r="E99" s="25"/>
      <c r="F99" s="25"/>
      <c r="G99" s="25"/>
      <c r="H99" s="26"/>
      <c r="I99" s="44"/>
    </row>
    <row r="100" spans="1:9" ht="13.8" x14ac:dyDescent="0.3">
      <c r="A100" s="45"/>
      <c r="B100" s="22" t="s">
        <v>213</v>
      </c>
      <c r="C100" s="22"/>
      <c r="D100" s="22" t="s">
        <v>214</v>
      </c>
      <c r="E100" s="22" t="s">
        <v>215</v>
      </c>
      <c r="F100" s="22">
        <v>4200</v>
      </c>
      <c r="G100" s="46" t="s">
        <v>216</v>
      </c>
      <c r="H100" s="37"/>
      <c r="I100" s="47">
        <f>(C90-C92)/C94</f>
        <v>0.22372881355932203</v>
      </c>
    </row>
    <row r="101" spans="1:9" ht="13.8" x14ac:dyDescent="0.3">
      <c r="A101" s="45" t="s">
        <v>217</v>
      </c>
      <c r="B101" s="22" t="s">
        <v>218</v>
      </c>
      <c r="C101" s="22"/>
      <c r="D101" s="22" t="s">
        <v>219</v>
      </c>
      <c r="E101" s="48" t="s">
        <v>220</v>
      </c>
      <c r="F101" s="22"/>
      <c r="G101" s="22" t="s">
        <v>221</v>
      </c>
      <c r="H101" s="37"/>
      <c r="I101" s="47">
        <f>(((C90+C92)/(2*F84))*I90)</f>
        <v>0</v>
      </c>
    </row>
    <row r="102" spans="1:9" ht="13.8" x14ac:dyDescent="0.3">
      <c r="A102" s="45" t="s">
        <v>222</v>
      </c>
      <c r="B102" s="22" t="s">
        <v>223</v>
      </c>
      <c r="C102" s="22"/>
      <c r="D102" s="22" t="s">
        <v>224</v>
      </c>
      <c r="E102" s="22" t="s">
        <v>225</v>
      </c>
      <c r="F102" s="49" t="s">
        <v>226</v>
      </c>
      <c r="G102" s="46" t="s">
        <v>216</v>
      </c>
      <c r="H102" s="37"/>
      <c r="I102" s="47">
        <f>(C90+C92)/2*(I92/F84)</f>
        <v>6.3762711864406782E-2</v>
      </c>
    </row>
    <row r="103" spans="1:9" ht="13.8" x14ac:dyDescent="0.3">
      <c r="A103" s="50"/>
      <c r="B103" s="22" t="s">
        <v>227</v>
      </c>
      <c r="C103" s="22"/>
      <c r="D103" s="22"/>
      <c r="E103" s="22">
        <v>0.8</v>
      </c>
      <c r="F103" s="51">
        <v>68.430000000000007</v>
      </c>
      <c r="G103" s="46" t="s">
        <v>216</v>
      </c>
      <c r="H103" s="37"/>
      <c r="I103" s="47">
        <f>(I94*I100)</f>
        <v>0.20135593220338982</v>
      </c>
    </row>
    <row r="104" spans="1:9" ht="13.8" x14ac:dyDescent="0.3">
      <c r="A104" s="52"/>
      <c r="B104" s="22"/>
      <c r="C104" s="22"/>
      <c r="D104" s="22"/>
      <c r="E104" s="22"/>
      <c r="F104" s="22"/>
      <c r="G104" s="22"/>
      <c r="H104" s="37" t="s">
        <v>228</v>
      </c>
      <c r="I104" s="53">
        <f>SUM(I100,I101,I102,I103,)</f>
        <v>0.48884745762711862</v>
      </c>
    </row>
    <row r="105" spans="1:9" ht="13.8" x14ac:dyDescent="0.3">
      <c r="A105" s="24"/>
      <c r="B105" s="34"/>
      <c r="C105" s="25"/>
      <c r="D105" s="25"/>
      <c r="E105" s="25"/>
      <c r="F105" s="25"/>
      <c r="G105" s="38"/>
      <c r="H105" s="38"/>
      <c r="I105" s="44"/>
    </row>
    <row r="106" spans="1:9" ht="13.8" x14ac:dyDescent="0.3">
      <c r="A106" s="21"/>
      <c r="B106" s="33" t="s">
        <v>229</v>
      </c>
      <c r="C106" s="22"/>
      <c r="D106" s="22">
        <v>0.2271</v>
      </c>
      <c r="E106" s="22">
        <v>6</v>
      </c>
      <c r="F106" s="26">
        <f>'Precios de Mat.'!$B$19</f>
        <v>0</v>
      </c>
      <c r="G106" s="32"/>
      <c r="H106" s="54"/>
      <c r="I106" s="55">
        <f>F92*F88*F94</f>
        <v>0</v>
      </c>
    </row>
    <row r="107" spans="1:9" ht="13.8" x14ac:dyDescent="0.3">
      <c r="A107" s="21" t="s">
        <v>230</v>
      </c>
      <c r="B107" s="33" t="s">
        <v>231</v>
      </c>
      <c r="C107" s="22"/>
      <c r="D107" s="22" t="s">
        <v>232</v>
      </c>
      <c r="E107" s="22"/>
      <c r="F107" s="22"/>
      <c r="G107" s="32"/>
      <c r="H107" s="32"/>
      <c r="I107" s="56">
        <f>(F96/I84*I88+H107)+(I86*F88*I88)</f>
        <v>0</v>
      </c>
    </row>
    <row r="108" spans="1:9" ht="13.8" x14ac:dyDescent="0.3">
      <c r="A108" s="21" t="s">
        <v>233</v>
      </c>
      <c r="B108" s="33" t="s">
        <v>234</v>
      </c>
      <c r="C108" s="22"/>
      <c r="D108" s="22" t="s">
        <v>235</v>
      </c>
      <c r="E108" s="22">
        <v>0</v>
      </c>
      <c r="F108" s="22"/>
      <c r="G108" s="32"/>
      <c r="H108" s="32"/>
      <c r="I108" s="55">
        <v>0</v>
      </c>
    </row>
    <row r="109" spans="1:9" ht="13.8" x14ac:dyDescent="0.3">
      <c r="A109" s="28"/>
      <c r="B109" s="36"/>
      <c r="C109" s="29"/>
      <c r="D109" s="29"/>
      <c r="E109" s="29"/>
      <c r="F109" s="29"/>
      <c r="G109" s="35"/>
      <c r="H109" s="35" t="s">
        <v>228</v>
      </c>
      <c r="I109" s="53">
        <f>SUM(I106:I108)</f>
        <v>0</v>
      </c>
    </row>
    <row r="110" spans="1:9" ht="13.8" x14ac:dyDescent="0.3">
      <c r="A110" s="57"/>
      <c r="B110" s="22"/>
      <c r="C110" s="22"/>
      <c r="D110" s="22"/>
      <c r="E110" s="22"/>
      <c r="F110" s="22"/>
      <c r="G110" s="22"/>
      <c r="H110" s="37"/>
      <c r="I110" s="58"/>
    </row>
    <row r="111" spans="1:9" ht="13.8" x14ac:dyDescent="0.3">
      <c r="A111" s="50"/>
      <c r="B111" s="22"/>
      <c r="C111" s="22"/>
      <c r="D111" s="22"/>
      <c r="E111" s="22"/>
      <c r="F111" s="22"/>
      <c r="G111" s="22"/>
      <c r="H111" s="37"/>
      <c r="I111" s="59"/>
    </row>
    <row r="112" spans="1:9" ht="13.8" x14ac:dyDescent="0.3">
      <c r="A112" s="50" t="s">
        <v>236</v>
      </c>
      <c r="B112" s="22"/>
      <c r="C112" s="22" t="s">
        <v>237</v>
      </c>
      <c r="D112" s="22"/>
      <c r="E112" s="22"/>
      <c r="F112" s="22"/>
      <c r="G112" s="22"/>
      <c r="H112" s="60" t="s">
        <v>238</v>
      </c>
      <c r="I112" s="61">
        <f>F90/F84*286.25</f>
        <v>20.442325423728814</v>
      </c>
    </row>
    <row r="113" spans="1:9" ht="13.8" x14ac:dyDescent="0.3">
      <c r="A113" s="52" t="s">
        <v>239</v>
      </c>
      <c r="B113" s="29"/>
      <c r="C113" s="29"/>
      <c r="D113" s="29"/>
      <c r="E113" s="29"/>
      <c r="F113" s="29"/>
      <c r="G113" s="29"/>
      <c r="H113" s="30"/>
      <c r="I113" s="41"/>
    </row>
    <row r="114" spans="1:9" ht="14.4" thickBot="1" x14ac:dyDescent="0.35">
      <c r="A114" s="62"/>
      <c r="B114" s="63"/>
      <c r="C114" s="63"/>
      <c r="D114" s="63"/>
      <c r="E114" s="63"/>
      <c r="F114" s="63" t="s">
        <v>240</v>
      </c>
      <c r="G114" s="63"/>
      <c r="H114" s="64" t="s">
        <v>241</v>
      </c>
      <c r="I114" s="65">
        <f>SUM(I104,I109,I112,)</f>
        <v>20.931172881355934</v>
      </c>
    </row>
    <row r="115" spans="1:9" ht="13.8" x14ac:dyDescent="0.3">
      <c r="A115" s="67"/>
      <c r="B115" s="67"/>
      <c r="C115" s="67"/>
      <c r="D115" s="67"/>
      <c r="E115" s="67"/>
      <c r="F115" s="67"/>
      <c r="G115" s="67"/>
      <c r="H115" s="67"/>
      <c r="I115" s="20"/>
    </row>
    <row r="116" spans="1:9" ht="13.8" x14ac:dyDescent="0.3">
      <c r="A116" s="67"/>
      <c r="B116" s="67"/>
      <c r="C116" s="67"/>
      <c r="D116" s="67"/>
      <c r="E116" s="67"/>
      <c r="F116" s="67"/>
      <c r="G116" s="67"/>
      <c r="H116" s="67"/>
      <c r="I116" s="20"/>
    </row>
    <row r="117" spans="1:9" ht="14.4" thickBot="1" x14ac:dyDescent="0.35">
      <c r="A117" s="67"/>
      <c r="B117" s="67"/>
      <c r="C117" s="67"/>
      <c r="D117" s="67"/>
      <c r="E117" s="67"/>
      <c r="F117" s="67"/>
      <c r="G117" s="67"/>
      <c r="H117" s="67"/>
      <c r="I117" s="20"/>
    </row>
    <row r="118" spans="1:9" ht="13.8" x14ac:dyDescent="0.3">
      <c r="A118" s="227" t="s">
        <v>249</v>
      </c>
      <c r="B118" s="228"/>
      <c r="C118" s="228"/>
      <c r="D118" s="228"/>
      <c r="E118" s="228"/>
      <c r="F118" s="228"/>
      <c r="G118" s="228"/>
      <c r="H118" s="228"/>
      <c r="I118" s="229"/>
    </row>
    <row r="119" spans="1:9" ht="13.8" x14ac:dyDescent="0.3">
      <c r="A119" s="230" t="s">
        <v>250</v>
      </c>
      <c r="B119" s="231"/>
      <c r="C119" s="231"/>
      <c r="D119" s="231"/>
      <c r="E119" s="231"/>
      <c r="F119" s="231"/>
      <c r="G119" s="231"/>
      <c r="H119" s="231"/>
      <c r="I119" s="232"/>
    </row>
    <row r="120" spans="1:9" ht="13.8" x14ac:dyDescent="0.3">
      <c r="A120" s="21"/>
      <c r="B120" s="22"/>
      <c r="C120" s="22"/>
      <c r="D120" s="22"/>
      <c r="E120" s="22"/>
      <c r="F120" s="22"/>
      <c r="G120" s="22"/>
      <c r="H120" s="22"/>
      <c r="I120" s="23"/>
    </row>
    <row r="121" spans="1:9" ht="13.8" x14ac:dyDescent="0.3">
      <c r="A121" s="24" t="s">
        <v>159</v>
      </c>
      <c r="B121" s="25" t="s">
        <v>160</v>
      </c>
      <c r="C121" s="26">
        <v>6900</v>
      </c>
      <c r="D121" s="25" t="s">
        <v>161</v>
      </c>
      <c r="E121" s="25" t="s">
        <v>162</v>
      </c>
      <c r="F121" s="26">
        <v>1600</v>
      </c>
      <c r="G121" s="25" t="s">
        <v>163</v>
      </c>
      <c r="H121" s="26" t="s">
        <v>164</v>
      </c>
      <c r="I121" s="27">
        <v>50</v>
      </c>
    </row>
    <row r="122" spans="1:9" ht="13.8" x14ac:dyDescent="0.3">
      <c r="A122" s="28" t="s">
        <v>165</v>
      </c>
      <c r="B122" s="29"/>
      <c r="C122" s="30"/>
      <c r="D122" s="29" t="s">
        <v>166</v>
      </c>
      <c r="E122" s="29"/>
      <c r="F122" s="30"/>
      <c r="G122" s="29" t="s">
        <v>167</v>
      </c>
      <c r="H122" s="30"/>
      <c r="I122" s="31"/>
    </row>
    <row r="123" spans="1:9" ht="13.8" x14ac:dyDescent="0.3">
      <c r="A123" s="21" t="s">
        <v>168</v>
      </c>
      <c r="B123" s="32" t="s">
        <v>169</v>
      </c>
      <c r="C123" s="33">
        <v>0</v>
      </c>
      <c r="D123" s="34" t="s">
        <v>170</v>
      </c>
      <c r="E123" s="25" t="s">
        <v>171</v>
      </c>
      <c r="F123" s="26">
        <v>12.5</v>
      </c>
      <c r="G123" s="22" t="s">
        <v>172</v>
      </c>
      <c r="H123" s="26" t="s">
        <v>173</v>
      </c>
      <c r="I123" s="27">
        <v>3.0699999999999998E-3</v>
      </c>
    </row>
    <row r="124" spans="1:9" ht="13.8" x14ac:dyDescent="0.3">
      <c r="A124" s="28" t="s">
        <v>174</v>
      </c>
      <c r="B124" s="35"/>
      <c r="C124" s="36"/>
      <c r="D124" s="36"/>
      <c r="E124" s="29"/>
      <c r="F124" s="37"/>
      <c r="G124" s="29"/>
      <c r="H124" s="30"/>
      <c r="I124" s="31"/>
    </row>
    <row r="125" spans="1:9" ht="13.8" x14ac:dyDescent="0.3">
      <c r="A125" s="24" t="s">
        <v>175</v>
      </c>
      <c r="B125" s="38" t="s">
        <v>176</v>
      </c>
      <c r="C125" s="34">
        <v>0</v>
      </c>
      <c r="D125" s="34" t="s">
        <v>247</v>
      </c>
      <c r="E125" s="25" t="s">
        <v>177</v>
      </c>
      <c r="F125" s="39">
        <v>9.3800000000000008</v>
      </c>
      <c r="G125" s="25" t="s">
        <v>178</v>
      </c>
      <c r="H125" s="26" t="s">
        <v>179</v>
      </c>
      <c r="I125" s="27">
        <f>'Precios de Mat.'!$B$22</f>
        <v>0</v>
      </c>
    </row>
    <row r="126" spans="1:9" ht="13.8" x14ac:dyDescent="0.3">
      <c r="A126" s="28" t="s">
        <v>180</v>
      </c>
      <c r="B126" s="35"/>
      <c r="C126" s="36"/>
      <c r="D126" s="36" t="s">
        <v>181</v>
      </c>
      <c r="E126" s="29"/>
      <c r="F126" s="30"/>
      <c r="G126" s="29" t="s">
        <v>172</v>
      </c>
      <c r="H126" s="30"/>
      <c r="I126" s="31"/>
    </row>
    <row r="127" spans="1:9" ht="13.8" x14ac:dyDescent="0.3">
      <c r="A127" s="24" t="s">
        <v>182</v>
      </c>
      <c r="B127" s="38" t="s">
        <v>183</v>
      </c>
      <c r="C127" s="34">
        <v>6900</v>
      </c>
      <c r="D127" s="33" t="s">
        <v>184</v>
      </c>
      <c r="E127" s="22" t="s">
        <v>251</v>
      </c>
      <c r="F127" s="37">
        <v>96.447999999999993</v>
      </c>
      <c r="G127" s="25" t="s">
        <v>186</v>
      </c>
      <c r="H127" s="26" t="s">
        <v>187</v>
      </c>
      <c r="I127" s="119">
        <f>'Precios de Mat.'!$B$24</f>
        <v>0</v>
      </c>
    </row>
    <row r="128" spans="1:9" ht="13.8" x14ac:dyDescent="0.3">
      <c r="A128" s="28" t="s">
        <v>188</v>
      </c>
      <c r="B128" s="35"/>
      <c r="C128" s="36"/>
      <c r="D128" s="33" t="s">
        <v>189</v>
      </c>
      <c r="E128" s="22"/>
      <c r="F128" s="30"/>
      <c r="G128" s="29" t="s">
        <v>190</v>
      </c>
      <c r="H128" s="30"/>
      <c r="I128" s="31"/>
    </row>
    <row r="129" spans="1:9" ht="13.8" x14ac:dyDescent="0.3">
      <c r="A129" s="24" t="s">
        <v>175</v>
      </c>
      <c r="B129" s="38" t="s">
        <v>191</v>
      </c>
      <c r="C129" s="34">
        <v>6210</v>
      </c>
      <c r="D129" s="34" t="s">
        <v>192</v>
      </c>
      <c r="E129" s="25" t="s">
        <v>193</v>
      </c>
      <c r="F129" s="26">
        <v>0.2271</v>
      </c>
      <c r="G129" s="25" t="s">
        <v>194</v>
      </c>
      <c r="H129" s="26" t="s">
        <v>195</v>
      </c>
      <c r="I129" s="27">
        <v>0.01</v>
      </c>
    </row>
    <row r="130" spans="1:9" ht="13.8" x14ac:dyDescent="0.3">
      <c r="A130" s="28" t="s">
        <v>196</v>
      </c>
      <c r="B130" s="35"/>
      <c r="C130" s="36"/>
      <c r="D130" s="36"/>
      <c r="E130" s="29"/>
      <c r="F130" s="30"/>
      <c r="G130" s="29" t="s">
        <v>197</v>
      </c>
      <c r="H130" s="30"/>
      <c r="I130" s="31"/>
    </row>
    <row r="131" spans="1:9" ht="13.8" x14ac:dyDescent="0.3">
      <c r="A131" s="21" t="s">
        <v>198</v>
      </c>
      <c r="B131" s="32" t="s">
        <v>199</v>
      </c>
      <c r="C131" s="33">
        <v>4800</v>
      </c>
      <c r="D131" s="34" t="s">
        <v>159</v>
      </c>
      <c r="E131" s="25" t="s">
        <v>200</v>
      </c>
      <c r="F131" s="26">
        <f>'Precios de Mat.'!$B$19</f>
        <v>0</v>
      </c>
      <c r="G131" s="25" t="s">
        <v>201</v>
      </c>
      <c r="H131" s="26" t="s">
        <v>202</v>
      </c>
      <c r="I131" s="27">
        <v>0.8</v>
      </c>
    </row>
    <row r="132" spans="1:9" ht="13.8" x14ac:dyDescent="0.3">
      <c r="A132" s="28" t="s">
        <v>203</v>
      </c>
      <c r="B132" s="35"/>
      <c r="C132" s="36"/>
      <c r="D132" s="36" t="s">
        <v>192</v>
      </c>
      <c r="E132" s="29"/>
      <c r="F132" s="30"/>
      <c r="G132" s="29" t="s">
        <v>204</v>
      </c>
      <c r="H132" s="30"/>
      <c r="I132" s="31"/>
    </row>
    <row r="133" spans="1:9" ht="13.8" x14ac:dyDescent="0.3">
      <c r="A133" s="24" t="s">
        <v>198</v>
      </c>
      <c r="B133" s="38" t="s">
        <v>205</v>
      </c>
      <c r="C133" s="34">
        <v>0</v>
      </c>
      <c r="D133" s="33" t="s">
        <v>206</v>
      </c>
      <c r="E133" s="22" t="s">
        <v>207</v>
      </c>
      <c r="F133" s="37">
        <v>2.7</v>
      </c>
      <c r="G133" s="25" t="s">
        <v>201</v>
      </c>
      <c r="H133" s="37" t="s">
        <v>208</v>
      </c>
      <c r="I133" s="40">
        <v>0.75</v>
      </c>
    </row>
    <row r="134" spans="1:9" ht="13.8" x14ac:dyDescent="0.3">
      <c r="A134" s="28" t="s">
        <v>209</v>
      </c>
      <c r="B134" s="35"/>
      <c r="C134" s="36"/>
      <c r="D134" s="36" t="s">
        <v>210</v>
      </c>
      <c r="E134" s="29"/>
      <c r="F134" s="30"/>
      <c r="G134" s="29" t="s">
        <v>211</v>
      </c>
      <c r="H134" s="30"/>
      <c r="I134" s="41"/>
    </row>
    <row r="135" spans="1:9" ht="13.8" x14ac:dyDescent="0.3">
      <c r="A135" s="42" t="s">
        <v>212</v>
      </c>
      <c r="B135" s="22"/>
      <c r="C135" s="22"/>
      <c r="D135" s="22"/>
      <c r="E135" s="22"/>
      <c r="F135" s="22"/>
      <c r="G135" s="22"/>
      <c r="H135" s="22"/>
      <c r="I135" s="23"/>
    </row>
    <row r="136" spans="1:9" ht="13.8" x14ac:dyDescent="0.3">
      <c r="A136" s="43"/>
      <c r="B136" s="25"/>
      <c r="C136" s="25"/>
      <c r="D136" s="25"/>
      <c r="E136" s="25"/>
      <c r="F136" s="25"/>
      <c r="G136" s="25"/>
      <c r="H136" s="26"/>
      <c r="I136" s="44"/>
    </row>
    <row r="137" spans="1:9" ht="13.8" x14ac:dyDescent="0.3">
      <c r="A137" s="45"/>
      <c r="B137" s="22" t="s">
        <v>213</v>
      </c>
      <c r="C137" s="22"/>
      <c r="D137" s="22" t="s">
        <v>214</v>
      </c>
      <c r="E137" s="22" t="s">
        <v>215</v>
      </c>
      <c r="F137" s="22">
        <v>4200</v>
      </c>
      <c r="G137" s="46" t="s">
        <v>216</v>
      </c>
      <c r="H137" s="37"/>
      <c r="I137" s="47">
        <f>(C127-C129)/C131</f>
        <v>0.14374999999999999</v>
      </c>
    </row>
    <row r="138" spans="1:9" ht="13.8" x14ac:dyDescent="0.3">
      <c r="A138" s="45" t="s">
        <v>217</v>
      </c>
      <c r="B138" s="22" t="s">
        <v>218</v>
      </c>
      <c r="C138" s="22"/>
      <c r="D138" s="22" t="s">
        <v>219</v>
      </c>
      <c r="E138" s="48" t="s">
        <v>220</v>
      </c>
      <c r="F138" s="22"/>
      <c r="G138" s="22" t="s">
        <v>221</v>
      </c>
      <c r="H138" s="37"/>
      <c r="I138" s="47">
        <f>(((C127+C129)/(2*F121))*I127)</f>
        <v>0</v>
      </c>
    </row>
    <row r="139" spans="1:9" ht="13.8" x14ac:dyDescent="0.3">
      <c r="A139" s="45" t="s">
        <v>222</v>
      </c>
      <c r="B139" s="22" t="s">
        <v>223</v>
      </c>
      <c r="C139" s="22"/>
      <c r="D139" s="22" t="s">
        <v>224</v>
      </c>
      <c r="E139" s="22" t="s">
        <v>225</v>
      </c>
      <c r="F139" s="49" t="s">
        <v>226</v>
      </c>
      <c r="G139" s="46" t="s">
        <v>216</v>
      </c>
      <c r="H139" s="37"/>
      <c r="I139" s="47">
        <f>(C127+C129)/2*(I129/F121)</f>
        <v>4.0968750000000005E-2</v>
      </c>
    </row>
    <row r="140" spans="1:9" ht="13.8" x14ac:dyDescent="0.3">
      <c r="A140" s="50"/>
      <c r="B140" s="22" t="s">
        <v>227</v>
      </c>
      <c r="C140" s="22"/>
      <c r="D140" s="22"/>
      <c r="E140" s="22">
        <v>0.8</v>
      </c>
      <c r="F140" s="51">
        <v>68.430000000000007</v>
      </c>
      <c r="G140" s="46" t="s">
        <v>216</v>
      </c>
      <c r="H140" s="37"/>
      <c r="I140" s="47">
        <f>(I131*I137)</f>
        <v>0.11499999999999999</v>
      </c>
    </row>
    <row r="141" spans="1:9" ht="13.8" x14ac:dyDescent="0.3">
      <c r="A141" s="52"/>
      <c r="B141" s="22"/>
      <c r="C141" s="22"/>
      <c r="D141" s="22"/>
      <c r="E141" s="22"/>
      <c r="F141" s="22"/>
      <c r="G141" s="22"/>
      <c r="H141" s="37" t="s">
        <v>228</v>
      </c>
      <c r="I141" s="53">
        <f>SUM(I137,I138,I139,I140,)</f>
        <v>0.29971874999999998</v>
      </c>
    </row>
    <row r="142" spans="1:9" ht="13.8" x14ac:dyDescent="0.3">
      <c r="A142" s="24"/>
      <c r="B142" s="34"/>
      <c r="C142" s="25"/>
      <c r="D142" s="25"/>
      <c r="E142" s="25"/>
      <c r="F142" s="25"/>
      <c r="G142" s="38"/>
      <c r="H142" s="38"/>
      <c r="I142" s="44"/>
    </row>
    <row r="143" spans="1:9" ht="13.8" x14ac:dyDescent="0.3">
      <c r="A143" s="21"/>
      <c r="B143" s="33" t="s">
        <v>229</v>
      </c>
      <c r="C143" s="22"/>
      <c r="D143" s="22">
        <v>0.2271</v>
      </c>
      <c r="E143" s="22">
        <v>6</v>
      </c>
      <c r="F143" s="26">
        <f>'Precios de Mat.'!$B$19</f>
        <v>0</v>
      </c>
      <c r="G143" s="32"/>
      <c r="H143" s="54"/>
      <c r="I143" s="55">
        <f>F129*F125*F131</f>
        <v>0</v>
      </c>
    </row>
    <row r="144" spans="1:9" ht="13.8" x14ac:dyDescent="0.3">
      <c r="A144" s="21" t="s">
        <v>230</v>
      </c>
      <c r="B144" s="33" t="s">
        <v>231</v>
      </c>
      <c r="C144" s="22"/>
      <c r="D144" s="22" t="s">
        <v>232</v>
      </c>
      <c r="E144" s="22"/>
      <c r="F144" s="22"/>
      <c r="G144" s="32"/>
      <c r="H144" s="32"/>
      <c r="I144" s="56">
        <f>(F133/I121*I125+H144)+(I123*F125*I125)</f>
        <v>0</v>
      </c>
    </row>
    <row r="145" spans="1:9" ht="13.8" x14ac:dyDescent="0.3">
      <c r="A145" s="21" t="s">
        <v>233</v>
      </c>
      <c r="B145" s="33" t="s">
        <v>234</v>
      </c>
      <c r="C145" s="22"/>
      <c r="D145" s="22" t="s">
        <v>235</v>
      </c>
      <c r="E145" s="22">
        <v>0</v>
      </c>
      <c r="F145" s="22"/>
      <c r="G145" s="32"/>
      <c r="H145" s="32"/>
      <c r="I145" s="55">
        <v>0</v>
      </c>
    </row>
    <row r="146" spans="1:9" ht="13.8" x14ac:dyDescent="0.3">
      <c r="A146" s="28"/>
      <c r="B146" s="36"/>
      <c r="C146" s="29"/>
      <c r="D146" s="29"/>
      <c r="E146" s="29"/>
      <c r="F146" s="29"/>
      <c r="G146" s="35"/>
      <c r="H146" s="35" t="s">
        <v>228</v>
      </c>
      <c r="I146" s="53">
        <f>SUM(I143:I145)</f>
        <v>0</v>
      </c>
    </row>
    <row r="147" spans="1:9" ht="13.8" x14ac:dyDescent="0.3">
      <c r="A147" s="57"/>
      <c r="B147" s="22"/>
      <c r="C147" s="22"/>
      <c r="D147" s="22"/>
      <c r="E147" s="22"/>
      <c r="F147" s="22"/>
      <c r="G147" s="22"/>
      <c r="H147" s="37"/>
      <c r="I147" s="58"/>
    </row>
    <row r="148" spans="1:9" ht="13.8" x14ac:dyDescent="0.3">
      <c r="A148" s="50"/>
      <c r="B148" s="22"/>
      <c r="C148" s="22"/>
      <c r="D148" s="22"/>
      <c r="E148" s="22"/>
      <c r="F148" s="22"/>
      <c r="G148" s="22"/>
      <c r="H148" s="37"/>
      <c r="I148" s="59"/>
    </row>
    <row r="149" spans="1:9" ht="13.8" x14ac:dyDescent="0.3">
      <c r="A149" s="50" t="s">
        <v>236</v>
      </c>
      <c r="B149" s="22"/>
      <c r="C149" s="22" t="s">
        <v>237</v>
      </c>
      <c r="D149" s="22"/>
      <c r="E149" s="22"/>
      <c r="F149" s="22"/>
      <c r="G149" s="22"/>
      <c r="H149" s="60" t="s">
        <v>238</v>
      </c>
      <c r="I149" s="61">
        <f>F127/F121*286.25</f>
        <v>17.255149999999997</v>
      </c>
    </row>
    <row r="150" spans="1:9" ht="13.8" x14ac:dyDescent="0.3">
      <c r="A150" s="52" t="s">
        <v>239</v>
      </c>
      <c r="B150" s="29"/>
      <c r="C150" s="29"/>
      <c r="D150" s="29"/>
      <c r="E150" s="29"/>
      <c r="F150" s="29"/>
      <c r="G150" s="29"/>
      <c r="H150" s="30"/>
      <c r="I150" s="41"/>
    </row>
    <row r="151" spans="1:9" ht="14.4" thickBot="1" x14ac:dyDescent="0.35">
      <c r="A151" s="62"/>
      <c r="B151" s="63"/>
      <c r="C151" s="63"/>
      <c r="D151" s="63"/>
      <c r="E151" s="63"/>
      <c r="F151" s="63" t="s">
        <v>240</v>
      </c>
      <c r="G151" s="63"/>
      <c r="H151" s="64" t="s">
        <v>241</v>
      </c>
      <c r="I151" s="65">
        <f>SUM(I141,I146,I149,)</f>
        <v>17.554868749999997</v>
      </c>
    </row>
    <row r="152" spans="1:9" ht="13.8" x14ac:dyDescent="0.3">
      <c r="A152" s="22"/>
      <c r="B152" s="22"/>
      <c r="C152" s="22"/>
      <c r="D152" s="22"/>
      <c r="E152" s="22"/>
      <c r="F152" s="22"/>
      <c r="G152" s="22"/>
      <c r="H152" s="22"/>
      <c r="I152" s="66"/>
    </row>
    <row r="153" spans="1:9" ht="13.8" x14ac:dyDescent="0.3">
      <c r="A153" s="22"/>
      <c r="B153" s="22"/>
      <c r="C153" s="22"/>
      <c r="D153" s="22"/>
      <c r="E153" s="22"/>
      <c r="F153" s="22"/>
      <c r="G153" s="22"/>
      <c r="H153" s="22"/>
      <c r="I153" s="66"/>
    </row>
    <row r="154" spans="1:9" ht="14.4" thickBot="1" x14ac:dyDescent="0.35">
      <c r="A154" s="67"/>
      <c r="B154" s="67"/>
      <c r="C154" s="67"/>
      <c r="D154" s="67"/>
      <c r="E154" s="67"/>
      <c r="F154" s="67"/>
      <c r="G154" s="67"/>
      <c r="H154" s="67"/>
      <c r="I154" s="20"/>
    </row>
    <row r="155" spans="1:9" ht="13.8" x14ac:dyDescent="0.3">
      <c r="A155" s="227" t="s">
        <v>252</v>
      </c>
      <c r="B155" s="228"/>
      <c r="C155" s="228"/>
      <c r="D155" s="228"/>
      <c r="E155" s="228"/>
      <c r="F155" s="228"/>
      <c r="G155" s="228"/>
      <c r="H155" s="228"/>
      <c r="I155" s="229"/>
    </row>
    <row r="156" spans="1:9" ht="13.8" x14ac:dyDescent="0.3">
      <c r="A156" s="230"/>
      <c r="B156" s="231"/>
      <c r="C156" s="231"/>
      <c r="D156" s="231"/>
      <c r="E156" s="231"/>
      <c r="F156" s="231"/>
      <c r="G156" s="231"/>
      <c r="H156" s="231"/>
      <c r="I156" s="232"/>
    </row>
    <row r="157" spans="1:9" ht="13.8" x14ac:dyDescent="0.3">
      <c r="A157" s="21"/>
      <c r="B157" s="22"/>
      <c r="C157" s="22"/>
      <c r="D157" s="22"/>
      <c r="E157" s="22"/>
      <c r="F157" s="22"/>
      <c r="G157" s="22"/>
      <c r="H157" s="22"/>
      <c r="I157" s="23"/>
    </row>
    <row r="158" spans="1:9" ht="13.8" x14ac:dyDescent="0.3">
      <c r="A158" s="24" t="s">
        <v>159</v>
      </c>
      <c r="B158" s="25" t="s">
        <v>160</v>
      </c>
      <c r="C158" s="26">
        <v>5300</v>
      </c>
      <c r="D158" s="25" t="s">
        <v>161</v>
      </c>
      <c r="E158" s="25" t="s">
        <v>162</v>
      </c>
      <c r="F158" s="26">
        <v>1600</v>
      </c>
      <c r="G158" s="25" t="s">
        <v>163</v>
      </c>
      <c r="H158" s="26" t="s">
        <v>164</v>
      </c>
      <c r="I158" s="27">
        <v>0</v>
      </c>
    </row>
    <row r="159" spans="1:9" ht="13.8" x14ac:dyDescent="0.3">
      <c r="A159" s="28" t="s">
        <v>165</v>
      </c>
      <c r="B159" s="29"/>
      <c r="C159" s="30"/>
      <c r="D159" s="29" t="s">
        <v>166</v>
      </c>
      <c r="E159" s="29"/>
      <c r="F159" s="30"/>
      <c r="G159" s="29" t="s">
        <v>167</v>
      </c>
      <c r="H159" s="30"/>
      <c r="I159" s="31"/>
    </row>
    <row r="160" spans="1:9" ht="13.8" x14ac:dyDescent="0.3">
      <c r="A160" s="21" t="s">
        <v>168</v>
      </c>
      <c r="B160" s="32" t="s">
        <v>169</v>
      </c>
      <c r="C160" s="33">
        <v>0</v>
      </c>
      <c r="D160" s="34" t="s">
        <v>170</v>
      </c>
      <c r="E160" s="25" t="s">
        <v>171</v>
      </c>
      <c r="F160" s="26">
        <v>0</v>
      </c>
      <c r="G160" s="22" t="s">
        <v>172</v>
      </c>
      <c r="H160" s="26" t="s">
        <v>173</v>
      </c>
      <c r="I160" s="27">
        <v>3.0699999999999998E-3</v>
      </c>
    </row>
    <row r="161" spans="1:9" ht="13.8" x14ac:dyDescent="0.3">
      <c r="A161" s="28" t="s">
        <v>174</v>
      </c>
      <c r="B161" s="35"/>
      <c r="C161" s="36"/>
      <c r="D161" s="36"/>
      <c r="E161" s="29"/>
      <c r="F161" s="37"/>
      <c r="G161" s="29"/>
      <c r="H161" s="30"/>
      <c r="I161" s="31"/>
    </row>
    <row r="162" spans="1:9" ht="13.8" x14ac:dyDescent="0.3">
      <c r="A162" s="24" t="s">
        <v>175</v>
      </c>
      <c r="B162" s="38" t="s">
        <v>176</v>
      </c>
      <c r="C162" s="34">
        <v>0</v>
      </c>
      <c r="D162" s="34" t="s">
        <v>247</v>
      </c>
      <c r="E162" s="25" t="s">
        <v>177</v>
      </c>
      <c r="F162" s="39">
        <v>0</v>
      </c>
      <c r="G162" s="25" t="s">
        <v>178</v>
      </c>
      <c r="H162" s="26" t="s">
        <v>179</v>
      </c>
      <c r="I162" s="27">
        <v>0</v>
      </c>
    </row>
    <row r="163" spans="1:9" ht="13.8" x14ac:dyDescent="0.3">
      <c r="A163" s="28" t="s">
        <v>180</v>
      </c>
      <c r="B163" s="35"/>
      <c r="C163" s="36"/>
      <c r="D163" s="36" t="s">
        <v>181</v>
      </c>
      <c r="E163" s="29"/>
      <c r="F163" s="30"/>
      <c r="G163" s="29" t="s">
        <v>172</v>
      </c>
      <c r="H163" s="30"/>
      <c r="I163" s="31"/>
    </row>
    <row r="164" spans="1:9" ht="13.8" x14ac:dyDescent="0.3">
      <c r="A164" s="24" t="s">
        <v>182</v>
      </c>
      <c r="B164" s="38" t="s">
        <v>183</v>
      </c>
      <c r="C164" s="34">
        <v>5300</v>
      </c>
      <c r="D164" s="33" t="s">
        <v>184</v>
      </c>
      <c r="E164" s="22" t="s">
        <v>248</v>
      </c>
      <c r="F164" s="37">
        <v>105.336</v>
      </c>
      <c r="G164" s="25" t="s">
        <v>186</v>
      </c>
      <c r="H164" s="26" t="s">
        <v>187</v>
      </c>
      <c r="I164" s="119">
        <f>'Precios de Mat.'!$B$24</f>
        <v>0</v>
      </c>
    </row>
    <row r="165" spans="1:9" ht="13.8" x14ac:dyDescent="0.3">
      <c r="A165" s="28" t="s">
        <v>188</v>
      </c>
      <c r="B165" s="35"/>
      <c r="C165" s="36"/>
      <c r="D165" s="33" t="s">
        <v>189</v>
      </c>
      <c r="E165" s="22"/>
      <c r="F165" s="30"/>
      <c r="G165" s="29" t="s">
        <v>190</v>
      </c>
      <c r="H165" s="30"/>
      <c r="I165" s="31"/>
    </row>
    <row r="166" spans="1:9" ht="13.8" x14ac:dyDescent="0.3">
      <c r="A166" s="24" t="s">
        <v>175</v>
      </c>
      <c r="B166" s="38" t="s">
        <v>191</v>
      </c>
      <c r="C166" s="34">
        <v>0</v>
      </c>
      <c r="D166" s="34" t="s">
        <v>192</v>
      </c>
      <c r="E166" s="25" t="s">
        <v>193</v>
      </c>
      <c r="F166" s="26">
        <v>0</v>
      </c>
      <c r="G166" s="25" t="s">
        <v>194</v>
      </c>
      <c r="H166" s="26" t="s">
        <v>195</v>
      </c>
      <c r="I166" s="27">
        <v>0.01</v>
      </c>
    </row>
    <row r="167" spans="1:9" ht="13.8" x14ac:dyDescent="0.3">
      <c r="A167" s="28" t="s">
        <v>196</v>
      </c>
      <c r="B167" s="35"/>
      <c r="C167" s="36"/>
      <c r="D167" s="36"/>
      <c r="E167" s="29"/>
      <c r="F167" s="30"/>
      <c r="G167" s="29" t="s">
        <v>197</v>
      </c>
      <c r="H167" s="30"/>
      <c r="I167" s="31"/>
    </row>
    <row r="168" spans="1:9" ht="13.8" x14ac:dyDescent="0.3">
      <c r="A168" s="21" t="s">
        <v>198</v>
      </c>
      <c r="B168" s="32" t="s">
        <v>199</v>
      </c>
      <c r="C168" s="33">
        <v>8000</v>
      </c>
      <c r="D168" s="34" t="s">
        <v>159</v>
      </c>
      <c r="E168" s="25" t="s">
        <v>200</v>
      </c>
      <c r="F168" s="26">
        <v>0</v>
      </c>
      <c r="G168" s="25" t="s">
        <v>201</v>
      </c>
      <c r="H168" s="26" t="s">
        <v>202</v>
      </c>
      <c r="I168" s="27">
        <v>1</v>
      </c>
    </row>
    <row r="169" spans="1:9" ht="13.8" x14ac:dyDescent="0.3">
      <c r="A169" s="28" t="s">
        <v>203</v>
      </c>
      <c r="B169" s="35"/>
      <c r="C169" s="36"/>
      <c r="D169" s="36" t="s">
        <v>192</v>
      </c>
      <c r="E169" s="29"/>
      <c r="F169" s="30"/>
      <c r="G169" s="29" t="s">
        <v>204</v>
      </c>
      <c r="H169" s="30"/>
      <c r="I169" s="31"/>
    </row>
    <row r="170" spans="1:9" ht="13.8" x14ac:dyDescent="0.3">
      <c r="A170" s="24" t="s">
        <v>198</v>
      </c>
      <c r="B170" s="38" t="s">
        <v>205</v>
      </c>
      <c r="C170" s="34">
        <v>0</v>
      </c>
      <c r="D170" s="33" t="s">
        <v>206</v>
      </c>
      <c r="E170" s="22" t="s">
        <v>207</v>
      </c>
      <c r="F170" s="37">
        <v>0</v>
      </c>
      <c r="G170" s="25" t="s">
        <v>201</v>
      </c>
      <c r="H170" s="37" t="s">
        <v>208</v>
      </c>
      <c r="I170" s="40">
        <v>0.75</v>
      </c>
    </row>
    <row r="171" spans="1:9" ht="13.8" x14ac:dyDescent="0.3">
      <c r="A171" s="28" t="s">
        <v>209</v>
      </c>
      <c r="B171" s="35"/>
      <c r="C171" s="36"/>
      <c r="D171" s="36" t="s">
        <v>210</v>
      </c>
      <c r="E171" s="29"/>
      <c r="F171" s="30"/>
      <c r="G171" s="29" t="s">
        <v>211</v>
      </c>
      <c r="H171" s="30"/>
      <c r="I171" s="41"/>
    </row>
    <row r="172" spans="1:9" ht="13.8" x14ac:dyDescent="0.3">
      <c r="A172" s="42" t="s">
        <v>212</v>
      </c>
      <c r="B172" s="22"/>
      <c r="C172" s="22"/>
      <c r="D172" s="22"/>
      <c r="E172" s="22"/>
      <c r="F172" s="22"/>
      <c r="G172" s="22"/>
      <c r="H172" s="22"/>
      <c r="I172" s="23"/>
    </row>
    <row r="173" spans="1:9" ht="13.8" x14ac:dyDescent="0.3">
      <c r="A173" s="43"/>
      <c r="B173" s="25"/>
      <c r="C173" s="25"/>
      <c r="D173" s="25"/>
      <c r="E173" s="25"/>
      <c r="F173" s="25"/>
      <c r="G173" s="25"/>
      <c r="H173" s="26"/>
      <c r="I173" s="44"/>
    </row>
    <row r="174" spans="1:9" ht="13.8" x14ac:dyDescent="0.3">
      <c r="A174" s="45"/>
      <c r="B174" s="22" t="s">
        <v>213</v>
      </c>
      <c r="C174" s="22"/>
      <c r="D174" s="22" t="s">
        <v>214</v>
      </c>
      <c r="E174" s="22" t="s">
        <v>215</v>
      </c>
      <c r="F174" s="22">
        <v>4200</v>
      </c>
      <c r="G174" s="46" t="s">
        <v>216</v>
      </c>
      <c r="H174" s="37"/>
      <c r="I174" s="47">
        <f>(C164-C166)/C168</f>
        <v>0.66249999999999998</v>
      </c>
    </row>
    <row r="175" spans="1:9" ht="13.8" x14ac:dyDescent="0.3">
      <c r="A175" s="45" t="s">
        <v>217</v>
      </c>
      <c r="B175" s="22" t="s">
        <v>218</v>
      </c>
      <c r="C175" s="22"/>
      <c r="D175" s="22" t="s">
        <v>219</v>
      </c>
      <c r="E175" s="48" t="s">
        <v>220</v>
      </c>
      <c r="F175" s="22"/>
      <c r="G175" s="22" t="s">
        <v>221</v>
      </c>
      <c r="H175" s="37"/>
      <c r="I175" s="47">
        <f>(((C164+C166)/(2*F158))*I164)</f>
        <v>0</v>
      </c>
    </row>
    <row r="176" spans="1:9" ht="13.8" x14ac:dyDescent="0.3">
      <c r="A176" s="45" t="s">
        <v>222</v>
      </c>
      <c r="B176" s="22" t="s">
        <v>223</v>
      </c>
      <c r="C176" s="22"/>
      <c r="D176" s="22" t="s">
        <v>224</v>
      </c>
      <c r="E176" s="22" t="s">
        <v>225</v>
      </c>
      <c r="F176" s="49" t="s">
        <v>226</v>
      </c>
      <c r="G176" s="46" t="s">
        <v>216</v>
      </c>
      <c r="H176" s="37"/>
      <c r="I176" s="47">
        <f>(C164+C166)/2*(I166/F158)</f>
        <v>1.6562500000000001E-2</v>
      </c>
    </row>
    <row r="177" spans="1:9" ht="13.8" x14ac:dyDescent="0.3">
      <c r="A177" s="50"/>
      <c r="B177" s="22" t="s">
        <v>227</v>
      </c>
      <c r="C177" s="22"/>
      <c r="D177" s="22"/>
      <c r="E177" s="22">
        <v>0.8</v>
      </c>
      <c r="F177" s="51">
        <v>68.430000000000007</v>
      </c>
      <c r="G177" s="46" t="s">
        <v>216</v>
      </c>
      <c r="H177" s="37"/>
      <c r="I177" s="47">
        <f>(I168*I174)</f>
        <v>0.66249999999999998</v>
      </c>
    </row>
    <row r="178" spans="1:9" ht="13.8" x14ac:dyDescent="0.3">
      <c r="A178" s="52"/>
      <c r="B178" s="22"/>
      <c r="C178" s="22"/>
      <c r="D178" s="22"/>
      <c r="E178" s="22"/>
      <c r="F178" s="22"/>
      <c r="G178" s="22"/>
      <c r="H178" s="37" t="s">
        <v>228</v>
      </c>
      <c r="I178" s="53">
        <f>SUM(I174,I175,I176,I177,)</f>
        <v>1.3415625</v>
      </c>
    </row>
    <row r="179" spans="1:9" ht="13.8" x14ac:dyDescent="0.3">
      <c r="A179" s="24"/>
      <c r="B179" s="34"/>
      <c r="C179" s="25"/>
      <c r="D179" s="25"/>
      <c r="E179" s="25"/>
      <c r="F179" s="25"/>
      <c r="G179" s="38"/>
      <c r="H179" s="38"/>
      <c r="I179" s="44"/>
    </row>
    <row r="180" spans="1:9" ht="13.8" x14ac:dyDescent="0.3">
      <c r="A180" s="21"/>
      <c r="B180" s="33" t="s">
        <v>229</v>
      </c>
      <c r="C180" s="22"/>
      <c r="D180" s="22">
        <v>0.2271</v>
      </c>
      <c r="E180" s="22">
        <v>6</v>
      </c>
      <c r="F180" s="26">
        <f>'Precios de Mat.'!$B$19</f>
        <v>0</v>
      </c>
      <c r="G180" s="32"/>
      <c r="H180" s="54"/>
      <c r="I180" s="55">
        <f>F166*F162*F168</f>
        <v>0</v>
      </c>
    </row>
    <row r="181" spans="1:9" ht="13.8" x14ac:dyDescent="0.3">
      <c r="A181" s="21" t="s">
        <v>230</v>
      </c>
      <c r="B181" s="33" t="s">
        <v>231</v>
      </c>
      <c r="C181" s="22"/>
      <c r="D181" s="22" t="s">
        <v>232</v>
      </c>
      <c r="E181" s="22"/>
      <c r="F181" s="22"/>
      <c r="G181" s="32"/>
      <c r="H181" s="32"/>
      <c r="I181" s="56">
        <v>0</v>
      </c>
    </row>
    <row r="182" spans="1:9" ht="13.8" x14ac:dyDescent="0.3">
      <c r="A182" s="21" t="s">
        <v>233</v>
      </c>
      <c r="B182" s="33" t="s">
        <v>234</v>
      </c>
      <c r="C182" s="22"/>
      <c r="D182" s="22" t="s">
        <v>235</v>
      </c>
      <c r="E182" s="22">
        <v>0</v>
      </c>
      <c r="F182" s="22"/>
      <c r="G182" s="32"/>
      <c r="H182" s="32"/>
      <c r="I182" s="55">
        <v>0</v>
      </c>
    </row>
    <row r="183" spans="1:9" ht="13.8" x14ac:dyDescent="0.3">
      <c r="A183" s="28"/>
      <c r="B183" s="36"/>
      <c r="C183" s="29"/>
      <c r="D183" s="29"/>
      <c r="E183" s="29"/>
      <c r="F183" s="29"/>
      <c r="G183" s="35"/>
      <c r="H183" s="35" t="s">
        <v>228</v>
      </c>
      <c r="I183" s="53">
        <f>SUM(I180:I182)</f>
        <v>0</v>
      </c>
    </row>
    <row r="184" spans="1:9" ht="13.8" x14ac:dyDescent="0.3">
      <c r="A184" s="57"/>
      <c r="B184" s="22"/>
      <c r="C184" s="22"/>
      <c r="D184" s="22"/>
      <c r="E184" s="22"/>
      <c r="F184" s="22"/>
      <c r="G184" s="22"/>
      <c r="H184" s="37"/>
      <c r="I184" s="58"/>
    </row>
    <row r="185" spans="1:9" ht="13.8" x14ac:dyDescent="0.3">
      <c r="A185" s="50"/>
      <c r="B185" s="22"/>
      <c r="C185" s="22"/>
      <c r="D185" s="22"/>
      <c r="E185" s="22"/>
      <c r="F185" s="22"/>
      <c r="G185" s="22"/>
      <c r="H185" s="37"/>
      <c r="I185" s="59"/>
    </row>
    <row r="186" spans="1:9" ht="13.8" x14ac:dyDescent="0.3">
      <c r="A186" s="50" t="s">
        <v>236</v>
      </c>
      <c r="B186" s="22"/>
      <c r="C186" s="22" t="s">
        <v>237</v>
      </c>
      <c r="D186" s="22"/>
      <c r="E186" s="22"/>
      <c r="F186" s="22"/>
      <c r="G186" s="22"/>
      <c r="H186" s="60" t="s">
        <v>238</v>
      </c>
      <c r="I186" s="61">
        <f>F164/F158*286.25</f>
        <v>18.845268750000002</v>
      </c>
    </row>
    <row r="187" spans="1:9" ht="13.8" x14ac:dyDescent="0.3">
      <c r="A187" s="52" t="s">
        <v>239</v>
      </c>
      <c r="B187" s="29"/>
      <c r="C187" s="29"/>
      <c r="D187" s="29"/>
      <c r="E187" s="29"/>
      <c r="F187" s="29"/>
      <c r="G187" s="29"/>
      <c r="H187" s="30"/>
      <c r="I187" s="41"/>
    </row>
    <row r="188" spans="1:9" ht="14.4" thickBot="1" x14ac:dyDescent="0.35">
      <c r="A188" s="62"/>
      <c r="B188" s="63"/>
      <c r="C188" s="63"/>
      <c r="D188" s="63"/>
      <c r="E188" s="63"/>
      <c r="F188" s="63" t="s">
        <v>240</v>
      </c>
      <c r="G188" s="63"/>
      <c r="H188" s="64" t="s">
        <v>241</v>
      </c>
      <c r="I188" s="65">
        <f>SUM(I178,I183,I186,)</f>
        <v>20.186831250000001</v>
      </c>
    </row>
    <row r="189" spans="1:9" ht="13.8" x14ac:dyDescent="0.3">
      <c r="A189" s="22"/>
      <c r="B189" s="22"/>
      <c r="C189" s="22"/>
      <c r="D189" s="22"/>
      <c r="E189" s="22"/>
      <c r="F189" s="22"/>
      <c r="G189" s="22"/>
      <c r="H189" s="22"/>
      <c r="I189" s="66"/>
    </row>
    <row r="190" spans="1:9" ht="13.8" x14ac:dyDescent="0.3">
      <c r="A190" s="67"/>
      <c r="B190" s="67"/>
      <c r="C190" s="67"/>
      <c r="D190" s="67"/>
      <c r="E190" s="67"/>
      <c r="F190" s="67"/>
      <c r="G190" s="67"/>
      <c r="H190" s="67"/>
      <c r="I190" s="20"/>
    </row>
    <row r="191" spans="1:9" ht="14.4" thickBot="1" x14ac:dyDescent="0.35">
      <c r="A191" s="67"/>
      <c r="B191" s="67"/>
      <c r="C191" s="67"/>
      <c r="D191" s="67"/>
      <c r="E191" s="67"/>
      <c r="F191" s="67"/>
      <c r="G191" s="67"/>
      <c r="H191" s="67"/>
      <c r="I191" s="20"/>
    </row>
    <row r="192" spans="1:9" ht="13.8" x14ac:dyDescent="0.3">
      <c r="A192" s="227" t="s">
        <v>253</v>
      </c>
      <c r="B192" s="228"/>
      <c r="C192" s="228"/>
      <c r="D192" s="228"/>
      <c r="E192" s="228"/>
      <c r="F192" s="228"/>
      <c r="G192" s="228"/>
      <c r="H192" s="228"/>
      <c r="I192" s="229"/>
    </row>
    <row r="193" spans="1:9" ht="13.8" x14ac:dyDescent="0.3">
      <c r="A193" s="230"/>
      <c r="B193" s="231"/>
      <c r="C193" s="231"/>
      <c r="D193" s="231"/>
      <c r="E193" s="231"/>
      <c r="F193" s="231"/>
      <c r="G193" s="231"/>
      <c r="H193" s="231"/>
      <c r="I193" s="232"/>
    </row>
    <row r="194" spans="1:9" ht="13.8" x14ac:dyDescent="0.3">
      <c r="A194" s="21"/>
      <c r="B194" s="22"/>
      <c r="C194" s="22"/>
      <c r="D194" s="22"/>
      <c r="E194" s="22"/>
      <c r="F194" s="22"/>
      <c r="G194" s="22"/>
      <c r="H194" s="22"/>
      <c r="I194" s="23"/>
    </row>
    <row r="195" spans="1:9" ht="13.8" x14ac:dyDescent="0.3">
      <c r="A195" s="24" t="s">
        <v>159</v>
      </c>
      <c r="B195" s="25" t="s">
        <v>160</v>
      </c>
      <c r="C195" s="26">
        <v>489000</v>
      </c>
      <c r="D195" s="25" t="s">
        <v>161</v>
      </c>
      <c r="E195" s="25" t="s">
        <v>162</v>
      </c>
      <c r="F195" s="26">
        <v>1700</v>
      </c>
      <c r="G195" s="25" t="s">
        <v>163</v>
      </c>
      <c r="H195" s="26" t="s">
        <v>164</v>
      </c>
      <c r="I195" s="27">
        <v>200</v>
      </c>
    </row>
    <row r="196" spans="1:9" ht="13.8" x14ac:dyDescent="0.3">
      <c r="A196" s="28" t="s">
        <v>165</v>
      </c>
      <c r="B196" s="29"/>
      <c r="C196" s="30"/>
      <c r="D196" s="29" t="s">
        <v>166</v>
      </c>
      <c r="E196" s="29"/>
      <c r="F196" s="30"/>
      <c r="G196" s="29" t="s">
        <v>167</v>
      </c>
      <c r="H196" s="30"/>
      <c r="I196" s="31"/>
    </row>
    <row r="197" spans="1:9" ht="13.8" x14ac:dyDescent="0.3">
      <c r="A197" s="21" t="s">
        <v>168</v>
      </c>
      <c r="B197" s="32" t="s">
        <v>169</v>
      </c>
      <c r="C197" s="33">
        <v>0</v>
      </c>
      <c r="D197" s="34" t="s">
        <v>170</v>
      </c>
      <c r="E197" s="25" t="s">
        <v>171</v>
      </c>
      <c r="F197" s="26">
        <v>122.8</v>
      </c>
      <c r="G197" s="22" t="s">
        <v>172</v>
      </c>
      <c r="H197" s="26" t="s">
        <v>173</v>
      </c>
      <c r="I197" s="27">
        <v>3.5799999999999998E-3</v>
      </c>
    </row>
    <row r="198" spans="1:9" ht="13.8" x14ac:dyDescent="0.3">
      <c r="A198" s="28" t="s">
        <v>174</v>
      </c>
      <c r="B198" s="35"/>
      <c r="C198" s="36"/>
      <c r="D198" s="36"/>
      <c r="E198" s="29"/>
      <c r="F198" s="37"/>
      <c r="G198" s="29"/>
      <c r="H198" s="30"/>
      <c r="I198" s="31"/>
    </row>
    <row r="199" spans="1:9" ht="13.8" x14ac:dyDescent="0.3">
      <c r="A199" s="24" t="s">
        <v>175</v>
      </c>
      <c r="B199" s="38" t="s">
        <v>176</v>
      </c>
      <c r="C199" s="34">
        <v>13800</v>
      </c>
      <c r="D199" s="34" t="s">
        <v>247</v>
      </c>
      <c r="E199" s="25" t="s">
        <v>177</v>
      </c>
      <c r="F199" s="39">
        <v>61.4</v>
      </c>
      <c r="G199" s="25" t="s">
        <v>178</v>
      </c>
      <c r="H199" s="26" t="s">
        <v>179</v>
      </c>
      <c r="I199" s="27">
        <f>'Precios de Mat.'!$B$22</f>
        <v>0</v>
      </c>
    </row>
    <row r="200" spans="1:9" ht="13.8" x14ac:dyDescent="0.3">
      <c r="A200" s="28" t="s">
        <v>180</v>
      </c>
      <c r="B200" s="35"/>
      <c r="C200" s="36"/>
      <c r="D200" s="36" t="s">
        <v>181</v>
      </c>
      <c r="E200" s="29"/>
      <c r="F200" s="30"/>
      <c r="G200" s="29" t="s">
        <v>172</v>
      </c>
      <c r="H200" s="30"/>
      <c r="I200" s="31"/>
    </row>
    <row r="201" spans="1:9" ht="13.8" x14ac:dyDescent="0.3">
      <c r="A201" s="24" t="s">
        <v>182</v>
      </c>
      <c r="B201" s="38" t="s">
        <v>183</v>
      </c>
      <c r="C201" s="34">
        <v>474800</v>
      </c>
      <c r="D201" s="33" t="s">
        <v>184</v>
      </c>
      <c r="E201" s="22" t="s">
        <v>254</v>
      </c>
      <c r="F201" s="37">
        <v>230.59899999999999</v>
      </c>
      <c r="G201" s="25" t="s">
        <v>186</v>
      </c>
      <c r="H201" s="26" t="s">
        <v>187</v>
      </c>
      <c r="I201" s="119">
        <f>'Precios de Mat.'!$B$24</f>
        <v>0</v>
      </c>
    </row>
    <row r="202" spans="1:9" ht="13.8" x14ac:dyDescent="0.3">
      <c r="A202" s="28" t="s">
        <v>188</v>
      </c>
      <c r="B202" s="35"/>
      <c r="C202" s="36"/>
      <c r="D202" s="33" t="s">
        <v>189</v>
      </c>
      <c r="E202" s="22"/>
      <c r="F202" s="30"/>
      <c r="G202" s="29" t="s">
        <v>190</v>
      </c>
      <c r="H202" s="30"/>
      <c r="I202" s="31"/>
    </row>
    <row r="203" spans="1:9" ht="13.8" x14ac:dyDescent="0.3">
      <c r="A203" s="24" t="s">
        <v>175</v>
      </c>
      <c r="B203" s="38" t="s">
        <v>191</v>
      </c>
      <c r="C203" s="34">
        <v>97800</v>
      </c>
      <c r="D203" s="34" t="s">
        <v>192</v>
      </c>
      <c r="E203" s="25" t="s">
        <v>193</v>
      </c>
      <c r="F203" s="26">
        <v>0.15140000000000001</v>
      </c>
      <c r="G203" s="25" t="s">
        <v>194</v>
      </c>
      <c r="H203" s="26" t="s">
        <v>195</v>
      </c>
      <c r="I203" s="27">
        <v>0.01</v>
      </c>
    </row>
    <row r="204" spans="1:9" ht="13.8" x14ac:dyDescent="0.3">
      <c r="A204" s="28" t="s">
        <v>196</v>
      </c>
      <c r="B204" s="35"/>
      <c r="C204" s="36"/>
      <c r="D204" s="36"/>
      <c r="E204" s="29"/>
      <c r="F204" s="30"/>
      <c r="G204" s="29" t="s">
        <v>197</v>
      </c>
      <c r="H204" s="30"/>
      <c r="I204" s="31"/>
    </row>
    <row r="205" spans="1:9" ht="13.8" x14ac:dyDescent="0.3">
      <c r="A205" s="21" t="s">
        <v>198</v>
      </c>
      <c r="B205" s="32" t="s">
        <v>199</v>
      </c>
      <c r="C205" s="33">
        <v>8500</v>
      </c>
      <c r="D205" s="34" t="s">
        <v>159</v>
      </c>
      <c r="E205" s="25" t="s">
        <v>200</v>
      </c>
      <c r="F205" s="26">
        <f>'Precios de Mat.'!$B$21</f>
        <v>0</v>
      </c>
      <c r="G205" s="25" t="s">
        <v>201</v>
      </c>
      <c r="H205" s="26" t="s">
        <v>202</v>
      </c>
      <c r="I205" s="27">
        <v>0.8</v>
      </c>
    </row>
    <row r="206" spans="1:9" ht="13.8" x14ac:dyDescent="0.3">
      <c r="A206" s="28" t="s">
        <v>203</v>
      </c>
      <c r="B206" s="35"/>
      <c r="C206" s="36"/>
      <c r="D206" s="36" t="s">
        <v>192</v>
      </c>
      <c r="E206" s="29"/>
      <c r="F206" s="30"/>
      <c r="G206" s="29" t="s">
        <v>204</v>
      </c>
      <c r="H206" s="30"/>
      <c r="I206" s="31"/>
    </row>
    <row r="207" spans="1:9" ht="13.8" x14ac:dyDescent="0.3">
      <c r="A207" s="24" t="s">
        <v>198</v>
      </c>
      <c r="B207" s="38" t="s">
        <v>205</v>
      </c>
      <c r="C207" s="34">
        <v>1800</v>
      </c>
      <c r="D207" s="33" t="s">
        <v>206</v>
      </c>
      <c r="E207" s="22" t="s">
        <v>207</v>
      </c>
      <c r="F207" s="37">
        <v>6.6</v>
      </c>
      <c r="G207" s="25" t="s">
        <v>201</v>
      </c>
      <c r="H207" s="37" t="s">
        <v>208</v>
      </c>
      <c r="I207" s="40">
        <v>0.5</v>
      </c>
    </row>
    <row r="208" spans="1:9" ht="13.8" x14ac:dyDescent="0.3">
      <c r="A208" s="28" t="s">
        <v>209</v>
      </c>
      <c r="B208" s="35"/>
      <c r="C208" s="36"/>
      <c r="D208" s="36" t="s">
        <v>210</v>
      </c>
      <c r="E208" s="29"/>
      <c r="F208" s="30"/>
      <c r="G208" s="29" t="s">
        <v>211</v>
      </c>
      <c r="H208" s="30"/>
      <c r="I208" s="41"/>
    </row>
    <row r="209" spans="1:9" ht="13.8" x14ac:dyDescent="0.3">
      <c r="A209" s="42" t="s">
        <v>212</v>
      </c>
      <c r="B209" s="22"/>
      <c r="C209" s="22"/>
      <c r="D209" s="22"/>
      <c r="E209" s="22"/>
      <c r="F209" s="22"/>
      <c r="G209" s="22"/>
      <c r="H209" s="22"/>
      <c r="I209" s="23"/>
    </row>
    <row r="210" spans="1:9" ht="13.8" x14ac:dyDescent="0.3">
      <c r="A210" s="43"/>
      <c r="B210" s="25"/>
      <c r="C210" s="25"/>
      <c r="D210" s="25"/>
      <c r="E210" s="25"/>
      <c r="F210" s="25"/>
      <c r="G210" s="25"/>
      <c r="H210" s="26"/>
      <c r="I210" s="44"/>
    </row>
    <row r="211" spans="1:9" ht="13.8" x14ac:dyDescent="0.3">
      <c r="A211" s="45"/>
      <c r="B211" s="22" t="s">
        <v>213</v>
      </c>
      <c r="C211" s="22"/>
      <c r="D211" s="22" t="s">
        <v>214</v>
      </c>
      <c r="E211" s="22" t="s">
        <v>215</v>
      </c>
      <c r="F211" s="22">
        <v>4200</v>
      </c>
      <c r="G211" s="46" t="s">
        <v>216</v>
      </c>
      <c r="H211" s="37"/>
      <c r="I211" s="47">
        <f>(C201-C203)/C205</f>
        <v>44.352941176470587</v>
      </c>
    </row>
    <row r="212" spans="1:9" ht="13.8" x14ac:dyDescent="0.3">
      <c r="A212" s="45" t="s">
        <v>217</v>
      </c>
      <c r="B212" s="22" t="s">
        <v>218</v>
      </c>
      <c r="C212" s="22"/>
      <c r="D212" s="22" t="s">
        <v>219</v>
      </c>
      <c r="E212" s="48" t="s">
        <v>220</v>
      </c>
      <c r="F212" s="22"/>
      <c r="G212" s="22" t="s">
        <v>221</v>
      </c>
      <c r="H212" s="37"/>
      <c r="I212" s="47">
        <f>(((C201+C203)/(2*F195))*I201)</f>
        <v>0</v>
      </c>
    </row>
    <row r="213" spans="1:9" ht="13.8" x14ac:dyDescent="0.3">
      <c r="A213" s="45" t="s">
        <v>222</v>
      </c>
      <c r="B213" s="22" t="s">
        <v>223</v>
      </c>
      <c r="C213" s="22"/>
      <c r="D213" s="22" t="s">
        <v>224</v>
      </c>
      <c r="E213" s="22" t="s">
        <v>225</v>
      </c>
      <c r="F213" s="49" t="s">
        <v>226</v>
      </c>
      <c r="G213" s="46" t="s">
        <v>216</v>
      </c>
      <c r="H213" s="37"/>
      <c r="I213" s="47">
        <f>(C201+C203)/2*(I203/F195)</f>
        <v>1.6841176470588237</v>
      </c>
    </row>
    <row r="214" spans="1:9" ht="13.8" x14ac:dyDescent="0.3">
      <c r="A214" s="50"/>
      <c r="B214" s="22" t="s">
        <v>227</v>
      </c>
      <c r="C214" s="22"/>
      <c r="D214" s="22"/>
      <c r="E214" s="22">
        <v>0.8</v>
      </c>
      <c r="F214" s="51">
        <v>68.430000000000007</v>
      </c>
      <c r="G214" s="46" t="s">
        <v>216</v>
      </c>
      <c r="H214" s="37"/>
      <c r="I214" s="47">
        <f>(I205*I211)</f>
        <v>35.482352941176472</v>
      </c>
    </row>
    <row r="215" spans="1:9" ht="13.8" x14ac:dyDescent="0.3">
      <c r="A215" s="52"/>
      <c r="B215" s="22"/>
      <c r="C215" s="22"/>
      <c r="D215" s="22"/>
      <c r="E215" s="22"/>
      <c r="F215" s="22"/>
      <c r="G215" s="22"/>
      <c r="H215" s="37" t="s">
        <v>228</v>
      </c>
      <c r="I215" s="53">
        <f>SUM(I211,I212,I213,I214,)</f>
        <v>81.519411764705893</v>
      </c>
    </row>
    <row r="216" spans="1:9" ht="13.8" x14ac:dyDescent="0.3">
      <c r="A216" s="24"/>
      <c r="B216" s="34"/>
      <c r="C216" s="25"/>
      <c r="D216" s="25"/>
      <c r="E216" s="25"/>
      <c r="F216" s="25"/>
      <c r="G216" s="38"/>
      <c r="H216" s="38"/>
      <c r="I216" s="44"/>
    </row>
    <row r="217" spans="1:9" ht="13.8" x14ac:dyDescent="0.3">
      <c r="A217" s="21"/>
      <c r="B217" s="33" t="s">
        <v>229</v>
      </c>
      <c r="C217" s="22"/>
      <c r="D217" s="22">
        <v>0.2271</v>
      </c>
      <c r="E217" s="22">
        <v>6</v>
      </c>
      <c r="F217" s="26">
        <f>'Precios de Mat.'!$B$21</f>
        <v>0</v>
      </c>
      <c r="G217" s="32"/>
      <c r="H217" s="54"/>
      <c r="I217" s="55">
        <f>F203*F199*F205</f>
        <v>0</v>
      </c>
    </row>
    <row r="218" spans="1:9" ht="13.8" x14ac:dyDescent="0.3">
      <c r="A218" s="21" t="s">
        <v>230</v>
      </c>
      <c r="B218" s="33" t="s">
        <v>231</v>
      </c>
      <c r="C218" s="22"/>
      <c r="D218" s="22" t="s">
        <v>232</v>
      </c>
      <c r="E218" s="22"/>
      <c r="F218" s="22"/>
      <c r="G218" s="32"/>
      <c r="H218" s="32"/>
      <c r="I218" s="56">
        <f>(F207/I195*I199+H218)+(I197*F199*I199)</f>
        <v>0</v>
      </c>
    </row>
    <row r="219" spans="1:9" ht="13.8" x14ac:dyDescent="0.3">
      <c r="A219" s="21" t="s">
        <v>233</v>
      </c>
      <c r="B219" s="33" t="s">
        <v>234</v>
      </c>
      <c r="C219" s="22"/>
      <c r="D219" s="22" t="s">
        <v>235</v>
      </c>
      <c r="E219" s="22">
        <v>0</v>
      </c>
      <c r="F219" s="22"/>
      <c r="G219" s="32"/>
      <c r="H219" s="32"/>
      <c r="I219" s="55">
        <f>C199/C207</f>
        <v>7.666666666666667</v>
      </c>
    </row>
    <row r="220" spans="1:9" ht="13.8" x14ac:dyDescent="0.3">
      <c r="A220" s="28"/>
      <c r="B220" s="36"/>
      <c r="C220" s="29"/>
      <c r="D220" s="29"/>
      <c r="E220" s="29"/>
      <c r="F220" s="29"/>
      <c r="G220" s="35"/>
      <c r="H220" s="35" t="s">
        <v>228</v>
      </c>
      <c r="I220" s="53">
        <f>SUM(I217:I219)</f>
        <v>7.666666666666667</v>
      </c>
    </row>
    <row r="221" spans="1:9" ht="13.8" x14ac:dyDescent="0.3">
      <c r="A221" s="57"/>
      <c r="B221" s="22"/>
      <c r="C221" s="22"/>
      <c r="D221" s="22"/>
      <c r="E221" s="22"/>
      <c r="F221" s="22"/>
      <c r="G221" s="22"/>
      <c r="H221" s="37"/>
      <c r="I221" s="58"/>
    </row>
    <row r="222" spans="1:9" ht="13.8" x14ac:dyDescent="0.3">
      <c r="A222" s="50"/>
      <c r="B222" s="22"/>
      <c r="C222" s="22"/>
      <c r="D222" s="22"/>
      <c r="E222" s="22"/>
      <c r="F222" s="22"/>
      <c r="G222" s="22"/>
      <c r="H222" s="37"/>
      <c r="I222" s="59"/>
    </row>
    <row r="223" spans="1:9" ht="13.8" x14ac:dyDescent="0.3">
      <c r="A223" s="50" t="s">
        <v>236</v>
      </c>
      <c r="B223" s="22"/>
      <c r="C223" s="22" t="s">
        <v>237</v>
      </c>
      <c r="D223" s="22"/>
      <c r="E223" s="22"/>
      <c r="F223" s="22"/>
      <c r="G223" s="22"/>
      <c r="H223" s="60" t="s">
        <v>238</v>
      </c>
      <c r="I223" s="61">
        <f>F201/F195*286.25</f>
        <v>38.828802205882347</v>
      </c>
    </row>
    <row r="224" spans="1:9" ht="13.8" x14ac:dyDescent="0.3">
      <c r="A224" s="52" t="s">
        <v>239</v>
      </c>
      <c r="B224" s="29"/>
      <c r="C224" s="29"/>
      <c r="D224" s="29"/>
      <c r="E224" s="29"/>
      <c r="F224" s="29"/>
      <c r="G224" s="29"/>
      <c r="H224" s="30"/>
      <c r="I224" s="41"/>
    </row>
    <row r="225" spans="1:9" ht="14.4" thickBot="1" x14ac:dyDescent="0.35">
      <c r="A225" s="62"/>
      <c r="B225" s="63"/>
      <c r="C225" s="63"/>
      <c r="D225" s="63"/>
      <c r="E225" s="63"/>
      <c r="F225" s="63" t="s">
        <v>240</v>
      </c>
      <c r="G225" s="63"/>
      <c r="H225" s="64" t="s">
        <v>241</v>
      </c>
      <c r="I225" s="65">
        <f>SUM(I215,I220,I223,)</f>
        <v>128.01488063725492</v>
      </c>
    </row>
    <row r="226" spans="1:9" ht="13.8" x14ac:dyDescent="0.3">
      <c r="A226" s="22"/>
      <c r="B226" s="22"/>
      <c r="C226" s="22"/>
      <c r="D226" s="22"/>
      <c r="E226" s="22"/>
      <c r="F226" s="22"/>
      <c r="G226" s="22"/>
      <c r="H226" s="22"/>
      <c r="I226" s="66"/>
    </row>
    <row r="227" spans="1:9" ht="13.8" x14ac:dyDescent="0.3">
      <c r="A227" s="22"/>
      <c r="B227" s="22"/>
      <c r="C227" s="22"/>
      <c r="D227" s="22"/>
      <c r="E227" s="22"/>
      <c r="F227" s="22"/>
      <c r="G227" s="22"/>
      <c r="H227" s="22"/>
      <c r="I227" s="66"/>
    </row>
    <row r="228" spans="1:9" ht="14.4" thickBot="1" x14ac:dyDescent="0.35">
      <c r="A228" s="67"/>
      <c r="B228" s="67"/>
      <c r="C228" s="67"/>
      <c r="D228" s="67"/>
      <c r="E228" s="67"/>
      <c r="F228" s="67"/>
      <c r="G228" s="67"/>
      <c r="H228" s="67"/>
      <c r="I228" s="20"/>
    </row>
    <row r="229" spans="1:9" ht="13.8" x14ac:dyDescent="0.3">
      <c r="A229" s="227" t="s">
        <v>255</v>
      </c>
      <c r="B229" s="228"/>
      <c r="C229" s="228"/>
      <c r="D229" s="228"/>
      <c r="E229" s="228"/>
      <c r="F229" s="228"/>
      <c r="G229" s="228"/>
      <c r="H229" s="228"/>
      <c r="I229" s="229"/>
    </row>
    <row r="230" spans="1:9" ht="13.8" x14ac:dyDescent="0.3">
      <c r="A230" s="230" t="s">
        <v>256</v>
      </c>
      <c r="B230" s="231"/>
      <c r="C230" s="231"/>
      <c r="D230" s="231"/>
      <c r="E230" s="231"/>
      <c r="F230" s="231"/>
      <c r="G230" s="231"/>
      <c r="H230" s="231"/>
      <c r="I230" s="232"/>
    </row>
    <row r="231" spans="1:9" ht="13.8" x14ac:dyDescent="0.3">
      <c r="A231" s="21"/>
      <c r="B231" s="22"/>
      <c r="C231" s="22"/>
      <c r="D231" s="22"/>
      <c r="E231" s="22"/>
      <c r="F231" s="22"/>
      <c r="G231" s="22"/>
      <c r="H231" s="22"/>
      <c r="I231" s="23"/>
    </row>
    <row r="232" spans="1:9" ht="13.8" x14ac:dyDescent="0.3">
      <c r="A232" s="24" t="s">
        <v>159</v>
      </c>
      <c r="B232" s="25" t="s">
        <v>160</v>
      </c>
      <c r="C232" s="26">
        <v>469000</v>
      </c>
      <c r="D232" s="25" t="s">
        <v>161</v>
      </c>
      <c r="E232" s="25" t="s">
        <v>162</v>
      </c>
      <c r="F232" s="26">
        <v>1700</v>
      </c>
      <c r="G232" s="25" t="s">
        <v>163</v>
      </c>
      <c r="H232" s="26" t="s">
        <v>164</v>
      </c>
      <c r="I232" s="27">
        <v>200</v>
      </c>
    </row>
    <row r="233" spans="1:9" ht="13.8" x14ac:dyDescent="0.3">
      <c r="A233" s="28" t="s">
        <v>165</v>
      </c>
      <c r="B233" s="29"/>
      <c r="C233" s="30"/>
      <c r="D233" s="29" t="s">
        <v>166</v>
      </c>
      <c r="E233" s="29"/>
      <c r="F233" s="30"/>
      <c r="G233" s="29" t="s">
        <v>167</v>
      </c>
      <c r="H233" s="30"/>
      <c r="I233" s="31"/>
    </row>
    <row r="234" spans="1:9" ht="13.8" x14ac:dyDescent="0.3">
      <c r="A234" s="21" t="s">
        <v>168</v>
      </c>
      <c r="B234" s="32" t="s">
        <v>169</v>
      </c>
      <c r="C234" s="33">
        <v>0</v>
      </c>
      <c r="D234" s="34" t="s">
        <v>170</v>
      </c>
      <c r="E234" s="25" t="s">
        <v>171</v>
      </c>
      <c r="F234" s="26">
        <v>122.8</v>
      </c>
      <c r="G234" s="22" t="s">
        <v>172</v>
      </c>
      <c r="H234" s="26" t="s">
        <v>173</v>
      </c>
      <c r="I234" s="27">
        <v>3.5799999999999998E-3</v>
      </c>
    </row>
    <row r="235" spans="1:9" ht="13.8" x14ac:dyDescent="0.3">
      <c r="A235" s="28" t="s">
        <v>174</v>
      </c>
      <c r="B235" s="35"/>
      <c r="C235" s="36"/>
      <c r="D235" s="36"/>
      <c r="E235" s="29"/>
      <c r="F235" s="37"/>
      <c r="G235" s="29"/>
      <c r="H235" s="30"/>
      <c r="I235" s="31"/>
    </row>
    <row r="236" spans="1:9" ht="13.8" x14ac:dyDescent="0.3">
      <c r="A236" s="24" t="s">
        <v>175</v>
      </c>
      <c r="B236" s="38" t="s">
        <v>176</v>
      </c>
      <c r="C236" s="34">
        <v>13800</v>
      </c>
      <c r="D236" s="34" t="s">
        <v>247</v>
      </c>
      <c r="E236" s="25" t="s">
        <v>177</v>
      </c>
      <c r="F236" s="39">
        <v>61.4</v>
      </c>
      <c r="G236" s="25" t="s">
        <v>178</v>
      </c>
      <c r="H236" s="26" t="s">
        <v>179</v>
      </c>
      <c r="I236" s="27">
        <f>'Precios de Mat.'!$B$22</f>
        <v>0</v>
      </c>
    </row>
    <row r="237" spans="1:9" ht="13.8" x14ac:dyDescent="0.3">
      <c r="A237" s="28" t="s">
        <v>180</v>
      </c>
      <c r="B237" s="35"/>
      <c r="C237" s="36"/>
      <c r="D237" s="36" t="s">
        <v>181</v>
      </c>
      <c r="E237" s="29"/>
      <c r="F237" s="30"/>
      <c r="G237" s="29" t="s">
        <v>172</v>
      </c>
      <c r="H237" s="30"/>
      <c r="I237" s="31"/>
    </row>
    <row r="238" spans="1:9" ht="13.8" x14ac:dyDescent="0.3">
      <c r="A238" s="24" t="s">
        <v>182</v>
      </c>
      <c r="B238" s="38" t="s">
        <v>183</v>
      </c>
      <c r="C238" s="34">
        <v>455400</v>
      </c>
      <c r="D238" s="33" t="s">
        <v>184</v>
      </c>
      <c r="E238" s="22" t="s">
        <v>254</v>
      </c>
      <c r="F238" s="37">
        <v>230.59899999999999</v>
      </c>
      <c r="G238" s="25" t="s">
        <v>186</v>
      </c>
      <c r="H238" s="26" t="s">
        <v>187</v>
      </c>
      <c r="I238" s="119">
        <f>'Precios de Mat.'!$B$24</f>
        <v>0</v>
      </c>
    </row>
    <row r="239" spans="1:9" ht="13.8" x14ac:dyDescent="0.3">
      <c r="A239" s="28" t="s">
        <v>188</v>
      </c>
      <c r="B239" s="35"/>
      <c r="C239" s="36"/>
      <c r="D239" s="33" t="s">
        <v>189</v>
      </c>
      <c r="E239" s="22"/>
      <c r="F239" s="30"/>
      <c r="G239" s="29" t="s">
        <v>190</v>
      </c>
      <c r="H239" s="30"/>
      <c r="I239" s="31"/>
    </row>
    <row r="240" spans="1:9" ht="13.8" x14ac:dyDescent="0.3">
      <c r="A240" s="24" t="s">
        <v>175</v>
      </c>
      <c r="B240" s="38" t="s">
        <v>191</v>
      </c>
      <c r="C240" s="34">
        <v>93800</v>
      </c>
      <c r="D240" s="34" t="s">
        <v>192</v>
      </c>
      <c r="E240" s="25" t="s">
        <v>193</v>
      </c>
      <c r="F240" s="26">
        <v>0.15140000000000001</v>
      </c>
      <c r="G240" s="25" t="s">
        <v>194</v>
      </c>
      <c r="H240" s="26" t="s">
        <v>195</v>
      </c>
      <c r="I240" s="27">
        <v>0.01</v>
      </c>
    </row>
    <row r="241" spans="1:9" ht="13.8" x14ac:dyDescent="0.3">
      <c r="A241" s="28" t="s">
        <v>196</v>
      </c>
      <c r="B241" s="35"/>
      <c r="C241" s="36"/>
      <c r="D241" s="36"/>
      <c r="E241" s="29"/>
      <c r="F241" s="30"/>
      <c r="G241" s="29" t="s">
        <v>197</v>
      </c>
      <c r="H241" s="30"/>
      <c r="I241" s="31"/>
    </row>
    <row r="242" spans="1:9" ht="13.8" x14ac:dyDescent="0.3">
      <c r="A242" s="21" t="s">
        <v>198</v>
      </c>
      <c r="B242" s="32" t="s">
        <v>199</v>
      </c>
      <c r="C242" s="33">
        <v>8500</v>
      </c>
      <c r="D242" s="34" t="s">
        <v>159</v>
      </c>
      <c r="E242" s="25" t="s">
        <v>200</v>
      </c>
      <c r="F242" s="26">
        <f>'Precios de Mat.'!$B$21</f>
        <v>0</v>
      </c>
      <c r="G242" s="25" t="s">
        <v>201</v>
      </c>
      <c r="H242" s="26" t="s">
        <v>202</v>
      </c>
      <c r="I242" s="27">
        <v>0.8</v>
      </c>
    </row>
    <row r="243" spans="1:9" ht="13.8" x14ac:dyDescent="0.3">
      <c r="A243" s="28" t="s">
        <v>203</v>
      </c>
      <c r="B243" s="35"/>
      <c r="C243" s="36"/>
      <c r="D243" s="36" t="s">
        <v>192</v>
      </c>
      <c r="E243" s="29"/>
      <c r="F243" s="30"/>
      <c r="G243" s="29" t="s">
        <v>204</v>
      </c>
      <c r="H243" s="30"/>
      <c r="I243" s="31"/>
    </row>
    <row r="244" spans="1:9" ht="13.8" x14ac:dyDescent="0.3">
      <c r="A244" s="24" t="s">
        <v>198</v>
      </c>
      <c r="B244" s="38" t="s">
        <v>205</v>
      </c>
      <c r="C244" s="34">
        <v>1800</v>
      </c>
      <c r="D244" s="33" t="s">
        <v>206</v>
      </c>
      <c r="E244" s="22" t="s">
        <v>207</v>
      </c>
      <c r="F244" s="37">
        <v>7.5</v>
      </c>
      <c r="G244" s="25" t="s">
        <v>201</v>
      </c>
      <c r="H244" s="37" t="s">
        <v>208</v>
      </c>
      <c r="I244" s="40">
        <v>0.5</v>
      </c>
    </row>
    <row r="245" spans="1:9" ht="13.8" x14ac:dyDescent="0.3">
      <c r="A245" s="28" t="s">
        <v>209</v>
      </c>
      <c r="B245" s="35"/>
      <c r="C245" s="36"/>
      <c r="D245" s="36" t="s">
        <v>210</v>
      </c>
      <c r="E245" s="29"/>
      <c r="F245" s="30"/>
      <c r="G245" s="29" t="s">
        <v>211</v>
      </c>
      <c r="H245" s="30"/>
      <c r="I245" s="41"/>
    </row>
    <row r="246" spans="1:9" ht="13.8" x14ac:dyDescent="0.3">
      <c r="A246" s="42" t="s">
        <v>212</v>
      </c>
      <c r="B246" s="22"/>
      <c r="C246" s="22"/>
      <c r="D246" s="22"/>
      <c r="E246" s="22"/>
      <c r="F246" s="22"/>
      <c r="G246" s="22"/>
      <c r="H246" s="22"/>
      <c r="I246" s="23"/>
    </row>
    <row r="247" spans="1:9" ht="13.8" x14ac:dyDescent="0.3">
      <c r="A247" s="43"/>
      <c r="B247" s="25"/>
      <c r="C247" s="25"/>
      <c r="D247" s="25"/>
      <c r="E247" s="25"/>
      <c r="F247" s="25"/>
      <c r="G247" s="25"/>
      <c r="H247" s="26"/>
      <c r="I247" s="44"/>
    </row>
    <row r="248" spans="1:9" ht="13.8" x14ac:dyDescent="0.3">
      <c r="A248" s="45"/>
      <c r="B248" s="22" t="s">
        <v>213</v>
      </c>
      <c r="C248" s="22"/>
      <c r="D248" s="22" t="s">
        <v>214</v>
      </c>
      <c r="E248" s="22" t="s">
        <v>215</v>
      </c>
      <c r="F248" s="22">
        <v>4200</v>
      </c>
      <c r="G248" s="46" t="s">
        <v>216</v>
      </c>
      <c r="H248" s="37"/>
      <c r="I248" s="47">
        <f>(C238-C240)/C242</f>
        <v>42.541176470588233</v>
      </c>
    </row>
    <row r="249" spans="1:9" ht="13.8" x14ac:dyDescent="0.3">
      <c r="A249" s="45" t="s">
        <v>217</v>
      </c>
      <c r="B249" s="22" t="s">
        <v>218</v>
      </c>
      <c r="C249" s="22"/>
      <c r="D249" s="22" t="s">
        <v>219</v>
      </c>
      <c r="E249" s="48" t="s">
        <v>220</v>
      </c>
      <c r="F249" s="22"/>
      <c r="G249" s="22" t="s">
        <v>221</v>
      </c>
      <c r="H249" s="37"/>
      <c r="I249" s="47">
        <f>(((C238+C240)/(2*F232))*I238)</f>
        <v>0</v>
      </c>
    </row>
    <row r="250" spans="1:9" ht="13.8" x14ac:dyDescent="0.3">
      <c r="A250" s="45" t="s">
        <v>222</v>
      </c>
      <c r="B250" s="22" t="s">
        <v>223</v>
      </c>
      <c r="C250" s="22"/>
      <c r="D250" s="22" t="s">
        <v>224</v>
      </c>
      <c r="E250" s="22" t="s">
        <v>225</v>
      </c>
      <c r="F250" s="49" t="s">
        <v>226</v>
      </c>
      <c r="G250" s="46" t="s">
        <v>216</v>
      </c>
      <c r="H250" s="37"/>
      <c r="I250" s="47">
        <f>(C238+C240)/2*(I240/F232)</f>
        <v>1.615294117647059</v>
      </c>
    </row>
    <row r="251" spans="1:9" ht="13.8" x14ac:dyDescent="0.3">
      <c r="A251" s="50"/>
      <c r="B251" s="22" t="s">
        <v>227</v>
      </c>
      <c r="C251" s="22"/>
      <c r="D251" s="22"/>
      <c r="E251" s="22">
        <v>0.8</v>
      </c>
      <c r="F251" s="51">
        <v>68.430000000000007</v>
      </c>
      <c r="G251" s="46" t="s">
        <v>216</v>
      </c>
      <c r="H251" s="37"/>
      <c r="I251" s="47">
        <f>(I242*I248)</f>
        <v>34.032941176470587</v>
      </c>
    </row>
    <row r="252" spans="1:9" ht="13.8" x14ac:dyDescent="0.3">
      <c r="A252" s="52"/>
      <c r="B252" s="22"/>
      <c r="C252" s="22"/>
      <c r="D252" s="22"/>
      <c r="E252" s="22"/>
      <c r="F252" s="22"/>
      <c r="G252" s="22"/>
      <c r="H252" s="37" t="s">
        <v>228</v>
      </c>
      <c r="I252" s="53">
        <f>SUM(I248,I249,I250,I251,)</f>
        <v>78.189411764705881</v>
      </c>
    </row>
    <row r="253" spans="1:9" ht="13.8" x14ac:dyDescent="0.3">
      <c r="A253" s="24"/>
      <c r="B253" s="34"/>
      <c r="C253" s="25"/>
      <c r="D253" s="25"/>
      <c r="E253" s="25"/>
      <c r="F253" s="25"/>
      <c r="G253" s="38"/>
      <c r="H253" s="38"/>
      <c r="I253" s="44"/>
    </row>
    <row r="254" spans="1:9" ht="13.8" x14ac:dyDescent="0.3">
      <c r="A254" s="21"/>
      <c r="B254" s="33" t="s">
        <v>229</v>
      </c>
      <c r="C254" s="22"/>
      <c r="D254" s="22">
        <v>0.2271</v>
      </c>
      <c r="E254" s="22">
        <v>6</v>
      </c>
      <c r="F254" s="26">
        <f>'Precios de Mat.'!$B$21</f>
        <v>0</v>
      </c>
      <c r="G254" s="32"/>
      <c r="H254" s="54"/>
      <c r="I254" s="55">
        <f>F240*F236*F242</f>
        <v>0</v>
      </c>
    </row>
    <row r="255" spans="1:9" ht="13.8" x14ac:dyDescent="0.3">
      <c r="A255" s="21" t="s">
        <v>230</v>
      </c>
      <c r="B255" s="33" t="s">
        <v>231</v>
      </c>
      <c r="C255" s="22"/>
      <c r="D255" s="22" t="s">
        <v>232</v>
      </c>
      <c r="E255" s="22"/>
      <c r="F255" s="22"/>
      <c r="G255" s="32"/>
      <c r="H255" s="32"/>
      <c r="I255" s="56">
        <f>(F244/I232*I236+H255)+(I234*F236*I236)</f>
        <v>0</v>
      </c>
    </row>
    <row r="256" spans="1:9" ht="13.8" x14ac:dyDescent="0.3">
      <c r="A256" s="21" t="s">
        <v>233</v>
      </c>
      <c r="B256" s="33" t="s">
        <v>234</v>
      </c>
      <c r="C256" s="22"/>
      <c r="D256" s="22" t="s">
        <v>235</v>
      </c>
      <c r="E256" s="22">
        <v>0</v>
      </c>
      <c r="F256" s="22"/>
      <c r="G256" s="32"/>
      <c r="H256" s="32"/>
      <c r="I256" s="55">
        <f>C236/C244</f>
        <v>7.666666666666667</v>
      </c>
    </row>
    <row r="257" spans="1:9" ht="13.8" x14ac:dyDescent="0.3">
      <c r="A257" s="28"/>
      <c r="B257" s="36"/>
      <c r="C257" s="29"/>
      <c r="D257" s="29"/>
      <c r="E257" s="29"/>
      <c r="F257" s="29"/>
      <c r="G257" s="35"/>
      <c r="H257" s="35" t="s">
        <v>228</v>
      </c>
      <c r="I257" s="53">
        <f>SUM(I254:I256)</f>
        <v>7.666666666666667</v>
      </c>
    </row>
    <row r="258" spans="1:9" ht="13.8" x14ac:dyDescent="0.3">
      <c r="A258" s="57"/>
      <c r="B258" s="22"/>
      <c r="C258" s="22"/>
      <c r="D258" s="22"/>
      <c r="E258" s="22"/>
      <c r="F258" s="22"/>
      <c r="G258" s="22"/>
      <c r="H258" s="37"/>
      <c r="I258" s="58"/>
    </row>
    <row r="259" spans="1:9" ht="13.8" x14ac:dyDescent="0.3">
      <c r="A259" s="50"/>
      <c r="B259" s="22"/>
      <c r="C259" s="22"/>
      <c r="D259" s="22"/>
      <c r="E259" s="22"/>
      <c r="F259" s="22"/>
      <c r="G259" s="22"/>
      <c r="H259" s="37"/>
      <c r="I259" s="59"/>
    </row>
    <row r="260" spans="1:9" ht="13.8" x14ac:dyDescent="0.3">
      <c r="A260" s="50" t="s">
        <v>236</v>
      </c>
      <c r="B260" s="22"/>
      <c r="C260" s="22" t="s">
        <v>237</v>
      </c>
      <c r="D260" s="22"/>
      <c r="E260" s="22"/>
      <c r="F260" s="22"/>
      <c r="G260" s="22"/>
      <c r="H260" s="60" t="s">
        <v>238</v>
      </c>
      <c r="I260" s="61">
        <f>F238/F232*286.25</f>
        <v>38.828802205882347</v>
      </c>
    </row>
    <row r="261" spans="1:9" ht="13.8" x14ac:dyDescent="0.3">
      <c r="A261" s="52" t="s">
        <v>239</v>
      </c>
      <c r="B261" s="29"/>
      <c r="C261" s="29"/>
      <c r="D261" s="29"/>
      <c r="E261" s="29"/>
      <c r="F261" s="29"/>
      <c r="G261" s="29"/>
      <c r="H261" s="30"/>
      <c r="I261" s="41"/>
    </row>
    <row r="262" spans="1:9" ht="14.4" thickBot="1" x14ac:dyDescent="0.35">
      <c r="A262" s="62"/>
      <c r="B262" s="63"/>
      <c r="C262" s="63"/>
      <c r="D262" s="63"/>
      <c r="E262" s="63"/>
      <c r="F262" s="63" t="s">
        <v>240</v>
      </c>
      <c r="G262" s="63"/>
      <c r="H262" s="64" t="s">
        <v>241</v>
      </c>
      <c r="I262" s="65">
        <f>SUM(I252,I257,I260,)</f>
        <v>124.68488063725491</v>
      </c>
    </row>
    <row r="263" spans="1:9" ht="13.8" x14ac:dyDescent="0.3">
      <c r="A263" s="22"/>
      <c r="B263" s="22"/>
      <c r="C263" s="22"/>
      <c r="D263" s="22"/>
      <c r="E263" s="22"/>
      <c r="F263" s="22"/>
      <c r="G263" s="22"/>
      <c r="H263" s="22"/>
      <c r="I263" s="66"/>
    </row>
    <row r="264" spans="1:9" ht="13.8" x14ac:dyDescent="0.3">
      <c r="A264" s="67"/>
      <c r="B264" s="67"/>
      <c r="C264" s="67"/>
      <c r="D264" s="67"/>
      <c r="E264" s="67"/>
      <c r="F264" s="67"/>
      <c r="G264" s="67"/>
      <c r="H264" s="67"/>
      <c r="I264" s="20"/>
    </row>
    <row r="265" spans="1:9" ht="14.4" thickBot="1" x14ac:dyDescent="0.35">
      <c r="A265" s="67"/>
      <c r="B265" s="67"/>
      <c r="C265" s="67"/>
      <c r="D265" s="67"/>
      <c r="E265" s="67"/>
      <c r="F265" s="67"/>
      <c r="G265" s="67"/>
      <c r="H265" s="67"/>
      <c r="I265" s="20"/>
    </row>
    <row r="266" spans="1:9" ht="13.8" x14ac:dyDescent="0.3">
      <c r="A266" s="227" t="s">
        <v>257</v>
      </c>
      <c r="B266" s="228"/>
      <c r="C266" s="228"/>
      <c r="D266" s="228"/>
      <c r="E266" s="228"/>
      <c r="F266" s="228"/>
      <c r="G266" s="228"/>
      <c r="H266" s="228"/>
      <c r="I266" s="229"/>
    </row>
    <row r="267" spans="1:9" ht="13.8" x14ac:dyDescent="0.3">
      <c r="A267" s="230" t="s">
        <v>258</v>
      </c>
      <c r="B267" s="231"/>
      <c r="C267" s="231"/>
      <c r="D267" s="231"/>
      <c r="E267" s="231"/>
      <c r="F267" s="231"/>
      <c r="G267" s="231"/>
      <c r="H267" s="231"/>
      <c r="I267" s="232"/>
    </row>
    <row r="268" spans="1:9" ht="13.8" x14ac:dyDescent="0.3">
      <c r="A268" s="21"/>
      <c r="B268" s="22"/>
      <c r="C268" s="22"/>
      <c r="D268" s="22"/>
      <c r="E268" s="22"/>
      <c r="F268" s="22"/>
      <c r="G268" s="22"/>
      <c r="H268" s="22"/>
      <c r="I268" s="23"/>
    </row>
    <row r="269" spans="1:9" ht="13.8" x14ac:dyDescent="0.3">
      <c r="A269" s="24" t="s">
        <v>159</v>
      </c>
      <c r="B269" s="25" t="s">
        <v>160</v>
      </c>
      <c r="C269" s="26">
        <v>1367800</v>
      </c>
      <c r="D269" s="25" t="s">
        <v>161</v>
      </c>
      <c r="E269" s="25" t="s">
        <v>162</v>
      </c>
      <c r="F269" s="26">
        <v>2000</v>
      </c>
      <c r="G269" s="25" t="s">
        <v>163</v>
      </c>
      <c r="H269" s="26" t="s">
        <v>164</v>
      </c>
      <c r="I269" s="27">
        <v>200</v>
      </c>
    </row>
    <row r="270" spans="1:9" ht="13.8" x14ac:dyDescent="0.3">
      <c r="A270" s="28" t="s">
        <v>165</v>
      </c>
      <c r="B270" s="29"/>
      <c r="C270" s="30"/>
      <c r="D270" s="29" t="s">
        <v>166</v>
      </c>
      <c r="E270" s="29"/>
      <c r="F270" s="30"/>
      <c r="G270" s="29" t="s">
        <v>167</v>
      </c>
      <c r="H270" s="30"/>
      <c r="I270" s="31"/>
    </row>
    <row r="271" spans="1:9" ht="13.8" x14ac:dyDescent="0.3">
      <c r="A271" s="21" t="s">
        <v>168</v>
      </c>
      <c r="B271" s="32" t="s">
        <v>169</v>
      </c>
      <c r="C271" s="33">
        <v>0</v>
      </c>
      <c r="D271" s="34" t="s">
        <v>170</v>
      </c>
      <c r="E271" s="25" t="s">
        <v>171</v>
      </c>
      <c r="F271" s="26">
        <v>125</v>
      </c>
      <c r="G271" s="22" t="s">
        <v>172</v>
      </c>
      <c r="H271" s="26" t="s">
        <v>173</v>
      </c>
      <c r="I271" s="27">
        <v>3.5799999999999998E-3</v>
      </c>
    </row>
    <row r="272" spans="1:9" ht="13.8" x14ac:dyDescent="0.3">
      <c r="A272" s="28" t="s">
        <v>174</v>
      </c>
      <c r="B272" s="35"/>
      <c r="C272" s="36"/>
      <c r="D272" s="36"/>
      <c r="E272" s="29"/>
      <c r="F272" s="37"/>
      <c r="G272" s="29"/>
      <c r="H272" s="30"/>
      <c r="I272" s="31"/>
    </row>
    <row r="273" spans="1:9" ht="13.8" x14ac:dyDescent="0.3">
      <c r="A273" s="24" t="s">
        <v>175</v>
      </c>
      <c r="B273" s="38" t="s">
        <v>176</v>
      </c>
      <c r="C273" s="34">
        <v>135000</v>
      </c>
      <c r="D273" s="34" t="s">
        <v>247</v>
      </c>
      <c r="E273" s="25" t="s">
        <v>177</v>
      </c>
      <c r="F273" s="39">
        <v>93.75</v>
      </c>
      <c r="G273" s="25" t="s">
        <v>178</v>
      </c>
      <c r="H273" s="26" t="s">
        <v>179</v>
      </c>
      <c r="I273" s="27">
        <f>'Precios de Mat.'!$B$22</f>
        <v>0</v>
      </c>
    </row>
    <row r="274" spans="1:9" ht="13.8" x14ac:dyDescent="0.3">
      <c r="A274" s="28" t="s">
        <v>180</v>
      </c>
      <c r="B274" s="35"/>
      <c r="C274" s="36"/>
      <c r="D274" s="36" t="s">
        <v>181</v>
      </c>
      <c r="E274" s="29"/>
      <c r="F274" s="30"/>
      <c r="G274" s="29" t="s">
        <v>172</v>
      </c>
      <c r="H274" s="30"/>
      <c r="I274" s="31"/>
    </row>
    <row r="275" spans="1:9" ht="13.8" x14ac:dyDescent="0.3">
      <c r="A275" s="24" t="s">
        <v>182</v>
      </c>
      <c r="B275" s="38" t="s">
        <v>183</v>
      </c>
      <c r="C275" s="34">
        <v>1282300</v>
      </c>
      <c r="D275" s="33" t="s">
        <v>184</v>
      </c>
      <c r="E275" s="22" t="s">
        <v>259</v>
      </c>
      <c r="F275" s="37">
        <v>252.673</v>
      </c>
      <c r="G275" s="25" t="s">
        <v>186</v>
      </c>
      <c r="H275" s="26" t="s">
        <v>187</v>
      </c>
      <c r="I275" s="119">
        <f>'Precios de Mat.'!$B$24</f>
        <v>0</v>
      </c>
    </row>
    <row r="276" spans="1:9" ht="13.8" x14ac:dyDescent="0.3">
      <c r="A276" s="28" t="s">
        <v>188</v>
      </c>
      <c r="B276" s="35"/>
      <c r="C276" s="36"/>
      <c r="D276" s="33" t="s">
        <v>189</v>
      </c>
      <c r="E276" s="22"/>
      <c r="F276" s="30"/>
      <c r="G276" s="29" t="s">
        <v>190</v>
      </c>
      <c r="H276" s="30"/>
      <c r="I276" s="31"/>
    </row>
    <row r="277" spans="1:9" ht="13.8" x14ac:dyDescent="0.3">
      <c r="A277" s="24" t="s">
        <v>175</v>
      </c>
      <c r="B277" s="38" t="s">
        <v>191</v>
      </c>
      <c r="C277" s="34">
        <v>205100</v>
      </c>
      <c r="D277" s="34" t="s">
        <v>192</v>
      </c>
      <c r="E277" s="25" t="s">
        <v>193</v>
      </c>
      <c r="F277" s="26">
        <v>0.15140000000000001</v>
      </c>
      <c r="G277" s="25" t="s">
        <v>194</v>
      </c>
      <c r="H277" s="26" t="s">
        <v>195</v>
      </c>
      <c r="I277" s="27">
        <v>0.01</v>
      </c>
    </row>
    <row r="278" spans="1:9" ht="13.8" x14ac:dyDescent="0.3">
      <c r="A278" s="28" t="s">
        <v>196</v>
      </c>
      <c r="B278" s="35"/>
      <c r="C278" s="36"/>
      <c r="D278" s="36"/>
      <c r="E278" s="29"/>
      <c r="F278" s="30"/>
      <c r="G278" s="29" t="s">
        <v>197</v>
      </c>
      <c r="H278" s="30"/>
      <c r="I278" s="31"/>
    </row>
    <row r="279" spans="1:9" ht="13.8" x14ac:dyDescent="0.3">
      <c r="A279" s="21" t="s">
        <v>198</v>
      </c>
      <c r="B279" s="32" t="s">
        <v>199</v>
      </c>
      <c r="C279" s="33">
        <v>10000</v>
      </c>
      <c r="D279" s="34" t="s">
        <v>159</v>
      </c>
      <c r="E279" s="25" t="s">
        <v>200</v>
      </c>
      <c r="F279" s="26">
        <f>'Precios de Mat.'!$B$21</f>
        <v>0</v>
      </c>
      <c r="G279" s="25" t="s">
        <v>201</v>
      </c>
      <c r="H279" s="26" t="s">
        <v>202</v>
      </c>
      <c r="I279" s="27">
        <v>0.8</v>
      </c>
    </row>
    <row r="280" spans="1:9" ht="13.8" x14ac:dyDescent="0.3">
      <c r="A280" s="28" t="s">
        <v>203</v>
      </c>
      <c r="B280" s="35"/>
      <c r="C280" s="36"/>
      <c r="D280" s="36" t="s">
        <v>192</v>
      </c>
      <c r="E280" s="29"/>
      <c r="F280" s="30"/>
      <c r="G280" s="29" t="s">
        <v>204</v>
      </c>
      <c r="H280" s="30"/>
      <c r="I280" s="31"/>
    </row>
    <row r="281" spans="1:9" ht="13.8" x14ac:dyDescent="0.3">
      <c r="A281" s="24" t="s">
        <v>198</v>
      </c>
      <c r="B281" s="38" t="s">
        <v>205</v>
      </c>
      <c r="C281" s="34">
        <v>1000</v>
      </c>
      <c r="D281" s="33" t="s">
        <v>206</v>
      </c>
      <c r="E281" s="22" t="s">
        <v>207</v>
      </c>
      <c r="F281" s="37">
        <v>27</v>
      </c>
      <c r="G281" s="25" t="s">
        <v>201</v>
      </c>
      <c r="H281" s="37" t="s">
        <v>208</v>
      </c>
      <c r="I281" s="40">
        <v>0.75</v>
      </c>
    </row>
    <row r="282" spans="1:9" ht="13.8" x14ac:dyDescent="0.3">
      <c r="A282" s="28" t="s">
        <v>209</v>
      </c>
      <c r="B282" s="35"/>
      <c r="C282" s="36"/>
      <c r="D282" s="36" t="s">
        <v>210</v>
      </c>
      <c r="E282" s="29"/>
      <c r="F282" s="30"/>
      <c r="G282" s="29" t="s">
        <v>211</v>
      </c>
      <c r="H282" s="30"/>
      <c r="I282" s="41"/>
    </row>
    <row r="283" spans="1:9" ht="13.8" x14ac:dyDescent="0.3">
      <c r="A283" s="42" t="s">
        <v>212</v>
      </c>
      <c r="B283" s="22"/>
      <c r="C283" s="22"/>
      <c r="D283" s="22"/>
      <c r="E283" s="22"/>
      <c r="F283" s="22"/>
      <c r="G283" s="22"/>
      <c r="H283" s="22"/>
      <c r="I283" s="23"/>
    </row>
    <row r="284" spans="1:9" ht="13.8" x14ac:dyDescent="0.3">
      <c r="A284" s="43"/>
      <c r="B284" s="25"/>
      <c r="C284" s="25"/>
      <c r="D284" s="25"/>
      <c r="E284" s="25"/>
      <c r="F284" s="25"/>
      <c r="G284" s="25"/>
      <c r="H284" s="26"/>
      <c r="I284" s="44"/>
    </row>
    <row r="285" spans="1:9" ht="13.8" x14ac:dyDescent="0.3">
      <c r="A285" s="45"/>
      <c r="B285" s="22" t="s">
        <v>213</v>
      </c>
      <c r="C285" s="22"/>
      <c r="D285" s="22" t="s">
        <v>214</v>
      </c>
      <c r="E285" s="22" t="s">
        <v>215</v>
      </c>
      <c r="F285" s="22">
        <v>4200</v>
      </c>
      <c r="G285" s="46" t="s">
        <v>216</v>
      </c>
      <c r="H285" s="37"/>
      <c r="I285" s="47">
        <f>(C275-C277)/C279</f>
        <v>107.72</v>
      </c>
    </row>
    <row r="286" spans="1:9" ht="13.8" x14ac:dyDescent="0.3">
      <c r="A286" s="45" t="s">
        <v>217</v>
      </c>
      <c r="B286" s="22" t="s">
        <v>218</v>
      </c>
      <c r="C286" s="22"/>
      <c r="D286" s="22" t="s">
        <v>219</v>
      </c>
      <c r="E286" s="48" t="s">
        <v>220</v>
      </c>
      <c r="F286" s="22"/>
      <c r="G286" s="22" t="s">
        <v>221</v>
      </c>
      <c r="H286" s="37"/>
      <c r="I286" s="47">
        <f>(((C275+C277)/(2*F269))*I275)</f>
        <v>0</v>
      </c>
    </row>
    <row r="287" spans="1:9" ht="13.8" x14ac:dyDescent="0.3">
      <c r="A287" s="45" t="s">
        <v>222</v>
      </c>
      <c r="B287" s="22" t="s">
        <v>223</v>
      </c>
      <c r="C287" s="22"/>
      <c r="D287" s="22" t="s">
        <v>224</v>
      </c>
      <c r="E287" s="22" t="s">
        <v>225</v>
      </c>
      <c r="F287" s="49" t="s">
        <v>226</v>
      </c>
      <c r="G287" s="46" t="s">
        <v>216</v>
      </c>
      <c r="H287" s="37"/>
      <c r="I287" s="47">
        <f>(C275+C277)/2*(I277/F269)</f>
        <v>3.7185000000000001</v>
      </c>
    </row>
    <row r="288" spans="1:9" ht="13.8" x14ac:dyDescent="0.3">
      <c r="A288" s="50"/>
      <c r="B288" s="22" t="s">
        <v>227</v>
      </c>
      <c r="C288" s="22"/>
      <c r="D288" s="22"/>
      <c r="E288" s="22">
        <v>0.8</v>
      </c>
      <c r="F288" s="51">
        <v>68.430000000000007</v>
      </c>
      <c r="G288" s="46" t="s">
        <v>216</v>
      </c>
      <c r="H288" s="37"/>
      <c r="I288" s="47">
        <f>(I279*I285)</f>
        <v>86.176000000000002</v>
      </c>
    </row>
    <row r="289" spans="1:9" ht="13.8" x14ac:dyDescent="0.3">
      <c r="A289" s="52"/>
      <c r="B289" s="22"/>
      <c r="C289" s="22"/>
      <c r="D289" s="22"/>
      <c r="E289" s="22"/>
      <c r="F289" s="22"/>
      <c r="G289" s="22"/>
      <c r="H289" s="37" t="s">
        <v>228</v>
      </c>
      <c r="I289" s="53">
        <f>SUM(I285,I286,I287,I288,)</f>
        <v>197.61450000000002</v>
      </c>
    </row>
    <row r="290" spans="1:9" ht="13.8" x14ac:dyDescent="0.3">
      <c r="A290" s="24"/>
      <c r="B290" s="34"/>
      <c r="C290" s="25"/>
      <c r="D290" s="25"/>
      <c r="E290" s="25"/>
      <c r="F290" s="25"/>
      <c r="G290" s="38"/>
      <c r="H290" s="38"/>
      <c r="I290" s="44"/>
    </row>
    <row r="291" spans="1:9" ht="13.8" x14ac:dyDescent="0.3">
      <c r="A291" s="21"/>
      <c r="B291" s="33" t="s">
        <v>229</v>
      </c>
      <c r="C291" s="22"/>
      <c r="D291" s="22">
        <v>0.2271</v>
      </c>
      <c r="E291" s="22">
        <v>6</v>
      </c>
      <c r="F291" s="26">
        <f>'Precios de Mat.'!$B$21</f>
        <v>0</v>
      </c>
      <c r="G291" s="32"/>
      <c r="H291" s="54"/>
      <c r="I291" s="55">
        <f>F277*F273*F279</f>
        <v>0</v>
      </c>
    </row>
    <row r="292" spans="1:9" ht="13.8" x14ac:dyDescent="0.3">
      <c r="A292" s="21" t="s">
        <v>230</v>
      </c>
      <c r="B292" s="33" t="s">
        <v>231</v>
      </c>
      <c r="C292" s="22"/>
      <c r="D292" s="22" t="s">
        <v>232</v>
      </c>
      <c r="E292" s="22"/>
      <c r="F292" s="22"/>
      <c r="G292" s="32"/>
      <c r="H292" s="32"/>
      <c r="I292" s="56">
        <f>(F281/I269*I273+H292)+(I271*F273*I273)</f>
        <v>0</v>
      </c>
    </row>
    <row r="293" spans="1:9" ht="13.8" x14ac:dyDescent="0.3">
      <c r="A293" s="21" t="s">
        <v>233</v>
      </c>
      <c r="B293" s="33" t="s">
        <v>234</v>
      </c>
      <c r="C293" s="22"/>
      <c r="D293" s="22" t="s">
        <v>235</v>
      </c>
      <c r="E293" s="22">
        <v>0</v>
      </c>
      <c r="F293" s="22"/>
      <c r="G293" s="32"/>
      <c r="H293" s="32"/>
      <c r="I293" s="55">
        <f>C273/C281</f>
        <v>135</v>
      </c>
    </row>
    <row r="294" spans="1:9" ht="13.8" x14ac:dyDescent="0.3">
      <c r="A294" s="28"/>
      <c r="B294" s="36"/>
      <c r="C294" s="29"/>
      <c r="D294" s="29"/>
      <c r="E294" s="29"/>
      <c r="F294" s="29"/>
      <c r="G294" s="35"/>
      <c r="H294" s="35" t="s">
        <v>228</v>
      </c>
      <c r="I294" s="53">
        <f>SUM(I291:I293)</f>
        <v>135</v>
      </c>
    </row>
    <row r="295" spans="1:9" ht="13.8" x14ac:dyDescent="0.3">
      <c r="A295" s="57"/>
      <c r="B295" s="22"/>
      <c r="C295" s="22"/>
      <c r="D295" s="22"/>
      <c r="E295" s="22"/>
      <c r="F295" s="22"/>
      <c r="G295" s="22"/>
      <c r="H295" s="37"/>
      <c r="I295" s="58"/>
    </row>
    <row r="296" spans="1:9" ht="13.8" x14ac:dyDescent="0.3">
      <c r="A296" s="50"/>
      <c r="B296" s="22"/>
      <c r="C296" s="22"/>
      <c r="D296" s="22"/>
      <c r="E296" s="22"/>
      <c r="F296" s="22"/>
      <c r="G296" s="22"/>
      <c r="H296" s="37"/>
      <c r="I296" s="59"/>
    </row>
    <row r="297" spans="1:9" ht="13.8" x14ac:dyDescent="0.3">
      <c r="A297" s="50" t="s">
        <v>236</v>
      </c>
      <c r="B297" s="22"/>
      <c r="C297" s="22" t="s">
        <v>237</v>
      </c>
      <c r="D297" s="22"/>
      <c r="E297" s="22"/>
      <c r="F297" s="22"/>
      <c r="G297" s="22"/>
      <c r="H297" s="60" t="s">
        <v>238</v>
      </c>
      <c r="I297" s="61">
        <f>F275/F269*286.25</f>
        <v>36.163823125</v>
      </c>
    </row>
    <row r="298" spans="1:9" ht="13.8" x14ac:dyDescent="0.3">
      <c r="A298" s="52" t="s">
        <v>239</v>
      </c>
      <c r="B298" s="29"/>
      <c r="C298" s="29"/>
      <c r="D298" s="29"/>
      <c r="E298" s="29"/>
      <c r="F298" s="29"/>
      <c r="G298" s="29"/>
      <c r="H298" s="30"/>
      <c r="I298" s="41"/>
    </row>
    <row r="299" spans="1:9" ht="14.4" thickBot="1" x14ac:dyDescent="0.35">
      <c r="A299" s="62"/>
      <c r="B299" s="63"/>
      <c r="C299" s="63"/>
      <c r="D299" s="63"/>
      <c r="E299" s="63"/>
      <c r="F299" s="63" t="s">
        <v>240</v>
      </c>
      <c r="G299" s="63"/>
      <c r="H299" s="64" t="s">
        <v>241</v>
      </c>
      <c r="I299" s="65">
        <f>SUM(I289,I294,I297,)</f>
        <v>368.77832312500004</v>
      </c>
    </row>
    <row r="300" spans="1:9" ht="13.8" x14ac:dyDescent="0.3">
      <c r="A300" s="22"/>
      <c r="B300" s="22"/>
      <c r="C300" s="22"/>
      <c r="D300" s="22"/>
      <c r="E300" s="22"/>
      <c r="F300" s="22"/>
      <c r="G300" s="22"/>
      <c r="H300" s="22"/>
      <c r="I300" s="66"/>
    </row>
    <row r="301" spans="1:9" ht="13.8" x14ac:dyDescent="0.3">
      <c r="A301" s="22"/>
      <c r="B301" s="22"/>
      <c r="C301" s="22"/>
      <c r="D301" s="22"/>
      <c r="E301" s="22"/>
      <c r="F301" s="22"/>
      <c r="G301" s="22"/>
      <c r="H301" s="22"/>
      <c r="I301" s="66"/>
    </row>
    <row r="302" spans="1:9" ht="14.4" thickBot="1" x14ac:dyDescent="0.35">
      <c r="A302" s="67"/>
      <c r="B302" s="67"/>
      <c r="C302" s="67"/>
      <c r="D302" s="67"/>
      <c r="E302" s="67"/>
      <c r="F302" s="67"/>
      <c r="G302" s="67"/>
      <c r="H302" s="67"/>
      <c r="I302" s="20"/>
    </row>
    <row r="303" spans="1:9" ht="13.8" x14ac:dyDescent="0.3">
      <c r="A303" s="227" t="s">
        <v>260</v>
      </c>
      <c r="B303" s="228"/>
      <c r="C303" s="228"/>
      <c r="D303" s="228"/>
      <c r="E303" s="228"/>
      <c r="F303" s="228"/>
      <c r="G303" s="228"/>
      <c r="H303" s="228"/>
      <c r="I303" s="229"/>
    </row>
    <row r="304" spans="1:9" ht="13.8" x14ac:dyDescent="0.3">
      <c r="A304" s="230" t="s">
        <v>261</v>
      </c>
      <c r="B304" s="231"/>
      <c r="C304" s="231"/>
      <c r="D304" s="231"/>
      <c r="E304" s="231"/>
      <c r="F304" s="231"/>
      <c r="G304" s="231"/>
      <c r="H304" s="231"/>
      <c r="I304" s="232"/>
    </row>
    <row r="305" spans="1:9" ht="13.8" x14ac:dyDescent="0.3">
      <c r="A305" s="21"/>
      <c r="B305" s="22"/>
      <c r="C305" s="22"/>
      <c r="D305" s="22"/>
      <c r="E305" s="22"/>
      <c r="F305" s="22"/>
      <c r="G305" s="22"/>
      <c r="H305" s="22"/>
      <c r="I305" s="23"/>
    </row>
    <row r="306" spans="1:9" ht="13.8" x14ac:dyDescent="0.3">
      <c r="A306" s="24" t="s">
        <v>159</v>
      </c>
      <c r="B306" s="25" t="s">
        <v>160</v>
      </c>
      <c r="C306" s="26">
        <v>643700</v>
      </c>
      <c r="D306" s="25" t="s">
        <v>161</v>
      </c>
      <c r="E306" s="25" t="s">
        <v>162</v>
      </c>
      <c r="F306" s="26">
        <v>2000</v>
      </c>
      <c r="G306" s="25" t="s">
        <v>163</v>
      </c>
      <c r="H306" s="26" t="s">
        <v>164</v>
      </c>
      <c r="I306" s="27">
        <v>200</v>
      </c>
    </row>
    <row r="307" spans="1:9" ht="13.8" x14ac:dyDescent="0.3">
      <c r="A307" s="28" t="s">
        <v>165</v>
      </c>
      <c r="B307" s="29"/>
      <c r="C307" s="30"/>
      <c r="D307" s="29" t="s">
        <v>166</v>
      </c>
      <c r="E307" s="29"/>
      <c r="F307" s="30"/>
      <c r="G307" s="29" t="s">
        <v>167</v>
      </c>
      <c r="H307" s="30"/>
      <c r="I307" s="31"/>
    </row>
    <row r="308" spans="1:9" ht="13.8" x14ac:dyDescent="0.3">
      <c r="A308" s="21" t="s">
        <v>168</v>
      </c>
      <c r="B308" s="32" t="s">
        <v>169</v>
      </c>
      <c r="C308" s="33">
        <v>0</v>
      </c>
      <c r="D308" s="34" t="s">
        <v>170</v>
      </c>
      <c r="E308" s="25" t="s">
        <v>171</v>
      </c>
      <c r="F308" s="26">
        <v>73</v>
      </c>
      <c r="G308" s="22" t="s">
        <v>172</v>
      </c>
      <c r="H308" s="26" t="s">
        <v>173</v>
      </c>
      <c r="I308" s="27">
        <v>3.0699999999999998E-3</v>
      </c>
    </row>
    <row r="309" spans="1:9" ht="13.8" x14ac:dyDescent="0.3">
      <c r="A309" s="28" t="s">
        <v>174</v>
      </c>
      <c r="B309" s="35"/>
      <c r="C309" s="36"/>
      <c r="D309" s="36"/>
      <c r="E309" s="29"/>
      <c r="F309" s="37"/>
      <c r="G309" s="29"/>
      <c r="H309" s="30"/>
      <c r="I309" s="31"/>
    </row>
    <row r="310" spans="1:9" ht="13.8" x14ac:dyDescent="0.3">
      <c r="A310" s="24" t="s">
        <v>175</v>
      </c>
      <c r="B310" s="38" t="s">
        <v>176</v>
      </c>
      <c r="C310" s="34">
        <v>0</v>
      </c>
      <c r="D310" s="34" t="s">
        <v>247</v>
      </c>
      <c r="E310" s="25" t="s">
        <v>177</v>
      </c>
      <c r="F310" s="39">
        <v>54.75</v>
      </c>
      <c r="G310" s="25" t="s">
        <v>178</v>
      </c>
      <c r="H310" s="26" t="s">
        <v>179</v>
      </c>
      <c r="I310" s="27">
        <f>'Precios de Mat.'!$B$22</f>
        <v>0</v>
      </c>
    </row>
    <row r="311" spans="1:9" ht="13.8" x14ac:dyDescent="0.3">
      <c r="A311" s="28" t="s">
        <v>180</v>
      </c>
      <c r="B311" s="35"/>
      <c r="C311" s="36"/>
      <c r="D311" s="36" t="s">
        <v>181</v>
      </c>
      <c r="E311" s="29"/>
      <c r="F311" s="30"/>
      <c r="G311" s="29" t="s">
        <v>172</v>
      </c>
      <c r="H311" s="30"/>
      <c r="I311" s="31"/>
    </row>
    <row r="312" spans="1:9" ht="13.8" x14ac:dyDescent="0.3">
      <c r="A312" s="24" t="s">
        <v>182</v>
      </c>
      <c r="B312" s="38" t="s">
        <v>183</v>
      </c>
      <c r="C312" s="34">
        <v>643700</v>
      </c>
      <c r="D312" s="33" t="s">
        <v>184</v>
      </c>
      <c r="E312" s="22" t="s">
        <v>259</v>
      </c>
      <c r="F312" s="37">
        <v>252.673</v>
      </c>
      <c r="G312" s="25" t="s">
        <v>186</v>
      </c>
      <c r="H312" s="26" t="s">
        <v>187</v>
      </c>
      <c r="I312" s="119">
        <f>'Precios de Mat.'!$B$24</f>
        <v>0</v>
      </c>
    </row>
    <row r="313" spans="1:9" ht="13.8" x14ac:dyDescent="0.3">
      <c r="A313" s="28" t="s">
        <v>188</v>
      </c>
      <c r="B313" s="35"/>
      <c r="C313" s="36"/>
      <c r="D313" s="33" t="s">
        <v>189</v>
      </c>
      <c r="E313" s="22"/>
      <c r="F313" s="30"/>
      <c r="G313" s="29" t="s">
        <v>190</v>
      </c>
      <c r="H313" s="30"/>
      <c r="I313" s="31"/>
    </row>
    <row r="314" spans="1:9" ht="13.8" x14ac:dyDescent="0.3">
      <c r="A314" s="24" t="s">
        <v>175</v>
      </c>
      <c r="B314" s="38" t="s">
        <v>191</v>
      </c>
      <c r="C314" s="34">
        <v>128750</v>
      </c>
      <c r="D314" s="34" t="s">
        <v>192</v>
      </c>
      <c r="E314" s="25" t="s">
        <v>193</v>
      </c>
      <c r="F314" s="26">
        <v>0.15140000000000001</v>
      </c>
      <c r="G314" s="25" t="s">
        <v>194</v>
      </c>
      <c r="H314" s="26" t="s">
        <v>195</v>
      </c>
      <c r="I314" s="27">
        <v>0.01</v>
      </c>
    </row>
    <row r="315" spans="1:9" ht="13.8" x14ac:dyDescent="0.3">
      <c r="A315" s="28" t="s">
        <v>196</v>
      </c>
      <c r="B315" s="35"/>
      <c r="C315" s="36"/>
      <c r="D315" s="36"/>
      <c r="E315" s="29"/>
      <c r="F315" s="30"/>
      <c r="G315" s="29" t="s">
        <v>197</v>
      </c>
      <c r="H315" s="30"/>
      <c r="I315" s="31"/>
    </row>
    <row r="316" spans="1:9" ht="13.8" x14ac:dyDescent="0.3">
      <c r="A316" s="21" t="s">
        <v>198</v>
      </c>
      <c r="B316" s="32" t="s">
        <v>199</v>
      </c>
      <c r="C316" s="33">
        <v>10000</v>
      </c>
      <c r="D316" s="34" t="s">
        <v>159</v>
      </c>
      <c r="E316" s="25" t="s">
        <v>200</v>
      </c>
      <c r="F316" s="26">
        <f>'Precios de Mat.'!$B$19</f>
        <v>0</v>
      </c>
      <c r="G316" s="25" t="s">
        <v>201</v>
      </c>
      <c r="H316" s="26" t="s">
        <v>202</v>
      </c>
      <c r="I316" s="27">
        <v>0.8</v>
      </c>
    </row>
    <row r="317" spans="1:9" ht="13.8" x14ac:dyDescent="0.3">
      <c r="A317" s="28" t="s">
        <v>203</v>
      </c>
      <c r="B317" s="35"/>
      <c r="C317" s="36"/>
      <c r="D317" s="36" t="s">
        <v>192</v>
      </c>
      <c r="E317" s="29"/>
      <c r="F317" s="30"/>
      <c r="G317" s="29" t="s">
        <v>204</v>
      </c>
      <c r="H317" s="30"/>
      <c r="I317" s="31"/>
    </row>
    <row r="318" spans="1:9" ht="13.8" x14ac:dyDescent="0.3">
      <c r="A318" s="24" t="s">
        <v>198</v>
      </c>
      <c r="B318" s="38" t="s">
        <v>205</v>
      </c>
      <c r="C318" s="34">
        <v>0</v>
      </c>
      <c r="D318" s="33" t="s">
        <v>206</v>
      </c>
      <c r="E318" s="22" t="s">
        <v>207</v>
      </c>
      <c r="F318" s="37">
        <v>12</v>
      </c>
      <c r="G318" s="25" t="s">
        <v>201</v>
      </c>
      <c r="H318" s="37" t="s">
        <v>208</v>
      </c>
      <c r="I318" s="40">
        <v>0.75</v>
      </c>
    </row>
    <row r="319" spans="1:9" ht="13.8" x14ac:dyDescent="0.3">
      <c r="A319" s="28" t="s">
        <v>209</v>
      </c>
      <c r="B319" s="35"/>
      <c r="C319" s="36"/>
      <c r="D319" s="36" t="s">
        <v>210</v>
      </c>
      <c r="E319" s="29"/>
      <c r="F319" s="30"/>
      <c r="G319" s="29" t="s">
        <v>211</v>
      </c>
      <c r="H319" s="30"/>
      <c r="I319" s="41"/>
    </row>
    <row r="320" spans="1:9" ht="13.8" x14ac:dyDescent="0.3">
      <c r="A320" s="42" t="s">
        <v>212</v>
      </c>
      <c r="B320" s="22"/>
      <c r="C320" s="22"/>
      <c r="D320" s="22"/>
      <c r="E320" s="22"/>
      <c r="F320" s="22"/>
      <c r="G320" s="22"/>
      <c r="H320" s="22"/>
      <c r="I320" s="23"/>
    </row>
    <row r="321" spans="1:9" ht="13.8" x14ac:dyDescent="0.3">
      <c r="A321" s="43"/>
      <c r="B321" s="25"/>
      <c r="C321" s="25"/>
      <c r="D321" s="25"/>
      <c r="E321" s="25"/>
      <c r="F321" s="25"/>
      <c r="G321" s="25"/>
      <c r="H321" s="26"/>
      <c r="I321" s="44"/>
    </row>
    <row r="322" spans="1:9" ht="13.8" x14ac:dyDescent="0.3">
      <c r="A322" s="45"/>
      <c r="B322" s="22" t="s">
        <v>213</v>
      </c>
      <c r="C322" s="22"/>
      <c r="D322" s="22" t="s">
        <v>214</v>
      </c>
      <c r="E322" s="22" t="s">
        <v>215</v>
      </c>
      <c r="F322" s="22">
        <v>4200</v>
      </c>
      <c r="G322" s="46" t="s">
        <v>216</v>
      </c>
      <c r="H322" s="37"/>
      <c r="I322" s="47">
        <f>(C312-C314)/C316</f>
        <v>51.494999999999997</v>
      </c>
    </row>
    <row r="323" spans="1:9" ht="13.8" x14ac:dyDescent="0.3">
      <c r="A323" s="45" t="s">
        <v>217</v>
      </c>
      <c r="B323" s="22" t="s">
        <v>218</v>
      </c>
      <c r="C323" s="22"/>
      <c r="D323" s="22" t="s">
        <v>219</v>
      </c>
      <c r="E323" s="48" t="s">
        <v>220</v>
      </c>
      <c r="F323" s="22"/>
      <c r="G323" s="22" t="s">
        <v>221</v>
      </c>
      <c r="H323" s="37"/>
      <c r="I323" s="47">
        <f>(((C312+C314)/(2*F306))*I312)</f>
        <v>0</v>
      </c>
    </row>
    <row r="324" spans="1:9" ht="13.8" x14ac:dyDescent="0.3">
      <c r="A324" s="45" t="s">
        <v>222</v>
      </c>
      <c r="B324" s="22" t="s">
        <v>223</v>
      </c>
      <c r="C324" s="22"/>
      <c r="D324" s="22" t="s">
        <v>224</v>
      </c>
      <c r="E324" s="22" t="s">
        <v>225</v>
      </c>
      <c r="F324" s="49" t="s">
        <v>226</v>
      </c>
      <c r="G324" s="46" t="s">
        <v>216</v>
      </c>
      <c r="H324" s="37"/>
      <c r="I324" s="47">
        <f>(C312+C314)/2*(I314/F306)</f>
        <v>1.9311250000000002</v>
      </c>
    </row>
    <row r="325" spans="1:9" ht="13.8" x14ac:dyDescent="0.3">
      <c r="A325" s="50"/>
      <c r="B325" s="22" t="s">
        <v>227</v>
      </c>
      <c r="C325" s="22"/>
      <c r="D325" s="22"/>
      <c r="E325" s="22">
        <v>0.8</v>
      </c>
      <c r="F325" s="51">
        <v>68.430000000000007</v>
      </c>
      <c r="G325" s="46" t="s">
        <v>216</v>
      </c>
      <c r="H325" s="37"/>
      <c r="I325" s="47">
        <f>(I316*I322)</f>
        <v>41.195999999999998</v>
      </c>
    </row>
    <row r="326" spans="1:9" ht="13.8" x14ac:dyDescent="0.3">
      <c r="A326" s="52"/>
      <c r="B326" s="22"/>
      <c r="C326" s="22"/>
      <c r="D326" s="22"/>
      <c r="E326" s="22"/>
      <c r="F326" s="22"/>
      <c r="G326" s="22"/>
      <c r="H326" s="37" t="s">
        <v>228</v>
      </c>
      <c r="I326" s="53">
        <f>SUM(I322,I323,I324,I325,)</f>
        <v>94.622124999999997</v>
      </c>
    </row>
    <row r="327" spans="1:9" ht="13.8" x14ac:dyDescent="0.3">
      <c r="A327" s="24"/>
      <c r="B327" s="34"/>
      <c r="C327" s="25"/>
      <c r="D327" s="25"/>
      <c r="E327" s="25"/>
      <c r="F327" s="25"/>
      <c r="G327" s="38"/>
      <c r="H327" s="38"/>
      <c r="I327" s="44"/>
    </row>
    <row r="328" spans="1:9" ht="13.8" x14ac:dyDescent="0.3">
      <c r="A328" s="21"/>
      <c r="B328" s="33" t="s">
        <v>229</v>
      </c>
      <c r="C328" s="22"/>
      <c r="D328" s="22">
        <v>0.2271</v>
      </c>
      <c r="E328" s="22">
        <v>6</v>
      </c>
      <c r="F328" s="26">
        <f>'Precios de Mat.'!$B$19</f>
        <v>0</v>
      </c>
      <c r="G328" s="32"/>
      <c r="H328" s="54"/>
      <c r="I328" s="55">
        <f>F314*F310*F316</f>
        <v>0</v>
      </c>
    </row>
    <row r="329" spans="1:9" ht="13.8" x14ac:dyDescent="0.3">
      <c r="A329" s="21" t="s">
        <v>230</v>
      </c>
      <c r="B329" s="33" t="s">
        <v>231</v>
      </c>
      <c r="C329" s="22"/>
      <c r="D329" s="22" t="s">
        <v>232</v>
      </c>
      <c r="E329" s="22"/>
      <c r="F329" s="22"/>
      <c r="G329" s="32"/>
      <c r="H329" s="32"/>
      <c r="I329" s="56">
        <f>(F318/I306*I310+H329)+(I308*F310*I310)</f>
        <v>0</v>
      </c>
    </row>
    <row r="330" spans="1:9" ht="13.8" x14ac:dyDescent="0.3">
      <c r="A330" s="21" t="s">
        <v>233</v>
      </c>
      <c r="B330" s="33" t="s">
        <v>234</v>
      </c>
      <c r="C330" s="22"/>
      <c r="D330" s="22" t="s">
        <v>235</v>
      </c>
      <c r="E330" s="22">
        <v>0</v>
      </c>
      <c r="F330" s="22"/>
      <c r="G330" s="32"/>
      <c r="H330" s="32"/>
      <c r="I330" s="55">
        <v>0</v>
      </c>
    </row>
    <row r="331" spans="1:9" ht="13.8" x14ac:dyDescent="0.3">
      <c r="A331" s="28"/>
      <c r="B331" s="36"/>
      <c r="C331" s="29"/>
      <c r="D331" s="29"/>
      <c r="E331" s="29"/>
      <c r="F331" s="29"/>
      <c r="G331" s="35"/>
      <c r="H331" s="35" t="s">
        <v>228</v>
      </c>
      <c r="I331" s="53">
        <f>SUM(I328:I330)</f>
        <v>0</v>
      </c>
    </row>
    <row r="332" spans="1:9" ht="13.8" x14ac:dyDescent="0.3">
      <c r="A332" s="57"/>
      <c r="B332" s="22"/>
      <c r="C332" s="22"/>
      <c r="D332" s="22"/>
      <c r="E332" s="22"/>
      <c r="F332" s="22"/>
      <c r="G332" s="22"/>
      <c r="H332" s="37"/>
      <c r="I332" s="58"/>
    </row>
    <row r="333" spans="1:9" ht="13.8" x14ac:dyDescent="0.3">
      <c r="A333" s="50"/>
      <c r="B333" s="22"/>
      <c r="C333" s="22"/>
      <c r="D333" s="22"/>
      <c r="E333" s="22"/>
      <c r="F333" s="22"/>
      <c r="G333" s="22"/>
      <c r="H333" s="37"/>
      <c r="I333" s="59"/>
    </row>
    <row r="334" spans="1:9" ht="13.8" x14ac:dyDescent="0.3">
      <c r="A334" s="50" t="s">
        <v>236</v>
      </c>
      <c r="B334" s="22"/>
      <c r="C334" s="22" t="s">
        <v>237</v>
      </c>
      <c r="D334" s="22"/>
      <c r="E334" s="22"/>
      <c r="F334" s="22"/>
      <c r="G334" s="22"/>
      <c r="H334" s="60" t="s">
        <v>238</v>
      </c>
      <c r="I334" s="61">
        <f>F312/F306*286.25</f>
        <v>36.163823125</v>
      </c>
    </row>
    <row r="335" spans="1:9" ht="13.8" x14ac:dyDescent="0.3">
      <c r="A335" s="52" t="s">
        <v>239</v>
      </c>
      <c r="B335" s="29"/>
      <c r="C335" s="29"/>
      <c r="D335" s="29"/>
      <c r="E335" s="29"/>
      <c r="F335" s="29"/>
      <c r="G335" s="29"/>
      <c r="H335" s="30"/>
      <c r="I335" s="41"/>
    </row>
    <row r="336" spans="1:9" ht="14.4" thickBot="1" x14ac:dyDescent="0.35">
      <c r="A336" s="62"/>
      <c r="B336" s="63"/>
      <c r="C336" s="63"/>
      <c r="D336" s="63"/>
      <c r="E336" s="63"/>
      <c r="F336" s="63" t="s">
        <v>240</v>
      </c>
      <c r="G336" s="63"/>
      <c r="H336" s="64" t="s">
        <v>241</v>
      </c>
      <c r="I336" s="65">
        <f>SUM(I326,I331,I334,)</f>
        <v>130.785948125</v>
      </c>
    </row>
    <row r="337" spans="1:9" ht="13.8" x14ac:dyDescent="0.3">
      <c r="A337" s="67"/>
      <c r="B337" s="67"/>
      <c r="C337" s="67"/>
      <c r="D337" s="67"/>
      <c r="E337" s="67"/>
      <c r="F337" s="67"/>
      <c r="G337" s="67"/>
      <c r="H337" s="67"/>
      <c r="I337" s="20"/>
    </row>
    <row r="338" spans="1:9" ht="13.8" x14ac:dyDescent="0.3">
      <c r="A338" s="67"/>
      <c r="B338" s="67"/>
      <c r="C338" s="67"/>
      <c r="D338" s="67"/>
      <c r="E338" s="67"/>
      <c r="F338" s="67"/>
      <c r="G338" s="67"/>
      <c r="H338" s="67"/>
      <c r="I338" s="20"/>
    </row>
    <row r="339" spans="1:9" ht="14.4" thickBot="1" x14ac:dyDescent="0.35">
      <c r="A339" s="67"/>
      <c r="B339" s="67"/>
      <c r="C339" s="67"/>
      <c r="D339" s="67"/>
      <c r="E339" s="67"/>
      <c r="F339" s="67"/>
      <c r="G339" s="67"/>
      <c r="H339" s="67"/>
      <c r="I339" s="20"/>
    </row>
    <row r="340" spans="1:9" ht="13.8" x14ac:dyDescent="0.3">
      <c r="A340" s="227" t="s">
        <v>262</v>
      </c>
      <c r="B340" s="228"/>
      <c r="C340" s="228"/>
      <c r="D340" s="228"/>
      <c r="E340" s="228"/>
      <c r="F340" s="228"/>
      <c r="G340" s="228"/>
      <c r="H340" s="228"/>
      <c r="I340" s="229"/>
    </row>
    <row r="341" spans="1:9" ht="13.8" x14ac:dyDescent="0.3">
      <c r="A341" s="230" t="s">
        <v>263</v>
      </c>
      <c r="B341" s="231"/>
      <c r="C341" s="231"/>
      <c r="D341" s="231"/>
      <c r="E341" s="231"/>
      <c r="F341" s="231"/>
      <c r="G341" s="231"/>
      <c r="H341" s="231"/>
      <c r="I341" s="232"/>
    </row>
    <row r="342" spans="1:9" ht="13.8" x14ac:dyDescent="0.3">
      <c r="A342" s="21"/>
      <c r="B342" s="22"/>
      <c r="C342" s="22"/>
      <c r="D342" s="22"/>
      <c r="E342" s="22"/>
      <c r="F342" s="22"/>
      <c r="G342" s="22"/>
      <c r="H342" s="22"/>
      <c r="I342" s="23"/>
    </row>
    <row r="343" spans="1:9" ht="13.8" x14ac:dyDescent="0.3">
      <c r="A343" s="24" t="s">
        <v>159</v>
      </c>
      <c r="B343" s="25" t="s">
        <v>160</v>
      </c>
      <c r="C343" s="26">
        <v>1282300</v>
      </c>
      <c r="D343" s="25" t="s">
        <v>161</v>
      </c>
      <c r="E343" s="25" t="s">
        <v>162</v>
      </c>
      <c r="F343" s="26">
        <v>1500</v>
      </c>
      <c r="G343" s="25" t="s">
        <v>163</v>
      </c>
      <c r="H343" s="26" t="s">
        <v>164</v>
      </c>
      <c r="I343" s="27">
        <v>200</v>
      </c>
    </row>
    <row r="344" spans="1:9" ht="13.8" x14ac:dyDescent="0.3">
      <c r="A344" s="28" t="s">
        <v>165</v>
      </c>
      <c r="B344" s="29"/>
      <c r="C344" s="30"/>
      <c r="D344" s="29" t="s">
        <v>166</v>
      </c>
      <c r="E344" s="29"/>
      <c r="F344" s="30"/>
      <c r="G344" s="29" t="s">
        <v>167</v>
      </c>
      <c r="H344" s="30"/>
      <c r="I344" s="31"/>
    </row>
    <row r="345" spans="1:9" ht="13.8" x14ac:dyDescent="0.3">
      <c r="A345" s="21" t="s">
        <v>168</v>
      </c>
      <c r="B345" s="32" t="s">
        <v>169</v>
      </c>
      <c r="C345" s="33">
        <v>0</v>
      </c>
      <c r="D345" s="34" t="s">
        <v>170</v>
      </c>
      <c r="E345" s="25" t="s">
        <v>171</v>
      </c>
      <c r="F345" s="26">
        <v>81</v>
      </c>
      <c r="G345" s="22" t="s">
        <v>172</v>
      </c>
      <c r="H345" s="26" t="s">
        <v>173</v>
      </c>
      <c r="I345" s="27">
        <v>3.0699999999999998E-3</v>
      </c>
    </row>
    <row r="346" spans="1:9" ht="13.8" x14ac:dyDescent="0.3">
      <c r="A346" s="28" t="s">
        <v>174</v>
      </c>
      <c r="B346" s="35"/>
      <c r="C346" s="36"/>
      <c r="D346" s="36"/>
      <c r="E346" s="29"/>
      <c r="F346" s="37"/>
      <c r="G346" s="29"/>
      <c r="H346" s="30"/>
      <c r="I346" s="31"/>
    </row>
    <row r="347" spans="1:9" ht="13.8" x14ac:dyDescent="0.3">
      <c r="A347" s="24" t="s">
        <v>175</v>
      </c>
      <c r="B347" s="38" t="s">
        <v>176</v>
      </c>
      <c r="C347" s="34">
        <v>0</v>
      </c>
      <c r="D347" s="34" t="s">
        <v>247</v>
      </c>
      <c r="E347" s="25" t="s">
        <v>177</v>
      </c>
      <c r="F347" s="39">
        <v>60.75</v>
      </c>
      <c r="G347" s="25" t="s">
        <v>178</v>
      </c>
      <c r="H347" s="26" t="s">
        <v>179</v>
      </c>
      <c r="I347" s="27">
        <f>'Precios de Mat.'!$B$22</f>
        <v>0</v>
      </c>
    </row>
    <row r="348" spans="1:9" ht="13.8" x14ac:dyDescent="0.3">
      <c r="A348" s="28" t="s">
        <v>180</v>
      </c>
      <c r="B348" s="35"/>
      <c r="C348" s="36"/>
      <c r="D348" s="36" t="s">
        <v>181</v>
      </c>
      <c r="E348" s="29"/>
      <c r="F348" s="30"/>
      <c r="G348" s="29" t="s">
        <v>172</v>
      </c>
      <c r="H348" s="30"/>
      <c r="I348" s="31"/>
    </row>
    <row r="349" spans="1:9" ht="13.8" x14ac:dyDescent="0.3">
      <c r="A349" s="24" t="s">
        <v>182</v>
      </c>
      <c r="B349" s="38" t="s">
        <v>183</v>
      </c>
      <c r="C349" s="34">
        <v>1282300</v>
      </c>
      <c r="D349" s="33" t="s">
        <v>184</v>
      </c>
      <c r="E349" s="22" t="s">
        <v>259</v>
      </c>
      <c r="F349" s="37">
        <v>252.673</v>
      </c>
      <c r="G349" s="25" t="s">
        <v>186</v>
      </c>
      <c r="H349" s="26" t="s">
        <v>187</v>
      </c>
      <c r="I349" s="119">
        <f>'Precios de Mat.'!$B$24</f>
        <v>0</v>
      </c>
    </row>
    <row r="350" spans="1:9" ht="13.8" x14ac:dyDescent="0.3">
      <c r="A350" s="28" t="s">
        <v>188</v>
      </c>
      <c r="B350" s="35"/>
      <c r="C350" s="36"/>
      <c r="D350" s="33" t="s">
        <v>189</v>
      </c>
      <c r="E350" s="22"/>
      <c r="F350" s="30"/>
      <c r="G350" s="29" t="s">
        <v>190</v>
      </c>
      <c r="H350" s="30"/>
      <c r="I350" s="31"/>
    </row>
    <row r="351" spans="1:9" ht="13.8" x14ac:dyDescent="0.3">
      <c r="A351" s="24" t="s">
        <v>175</v>
      </c>
      <c r="B351" s="38" t="s">
        <v>191</v>
      </c>
      <c r="C351" s="34">
        <v>256400</v>
      </c>
      <c r="D351" s="34" t="s">
        <v>192</v>
      </c>
      <c r="E351" s="25" t="s">
        <v>193</v>
      </c>
      <c r="F351" s="26">
        <v>0.15140000000000001</v>
      </c>
      <c r="G351" s="25" t="s">
        <v>194</v>
      </c>
      <c r="H351" s="26" t="s">
        <v>195</v>
      </c>
      <c r="I351" s="27">
        <v>0.01</v>
      </c>
    </row>
    <row r="352" spans="1:9" ht="13.8" x14ac:dyDescent="0.3">
      <c r="A352" s="28" t="s">
        <v>196</v>
      </c>
      <c r="B352" s="35"/>
      <c r="C352" s="36"/>
      <c r="D352" s="36"/>
      <c r="E352" s="29"/>
      <c r="F352" s="30"/>
      <c r="G352" s="29" t="s">
        <v>197</v>
      </c>
      <c r="H352" s="30"/>
      <c r="I352" s="31"/>
    </row>
    <row r="353" spans="1:9" ht="13.8" x14ac:dyDescent="0.3">
      <c r="A353" s="21" t="s">
        <v>198</v>
      </c>
      <c r="B353" s="32" t="s">
        <v>199</v>
      </c>
      <c r="C353" s="33">
        <v>6000</v>
      </c>
      <c r="D353" s="34" t="s">
        <v>159</v>
      </c>
      <c r="E353" s="25" t="s">
        <v>200</v>
      </c>
      <c r="F353" s="26">
        <f>'Precios de Mat.'!$B$19</f>
        <v>0</v>
      </c>
      <c r="G353" s="25" t="s">
        <v>201</v>
      </c>
      <c r="H353" s="26" t="s">
        <v>202</v>
      </c>
      <c r="I353" s="27">
        <v>0.8</v>
      </c>
    </row>
    <row r="354" spans="1:9" ht="13.8" x14ac:dyDescent="0.3">
      <c r="A354" s="28" t="s">
        <v>203</v>
      </c>
      <c r="B354" s="35"/>
      <c r="C354" s="36"/>
      <c r="D354" s="36" t="s">
        <v>192</v>
      </c>
      <c r="E354" s="29"/>
      <c r="F354" s="30"/>
      <c r="G354" s="29" t="s">
        <v>204</v>
      </c>
      <c r="H354" s="30"/>
      <c r="I354" s="31"/>
    </row>
    <row r="355" spans="1:9" ht="13.8" x14ac:dyDescent="0.3">
      <c r="A355" s="24" t="s">
        <v>198</v>
      </c>
      <c r="B355" s="38" t="s">
        <v>205</v>
      </c>
      <c r="C355" s="34">
        <v>0</v>
      </c>
      <c r="D355" s="33" t="s">
        <v>206</v>
      </c>
      <c r="E355" s="22" t="s">
        <v>207</v>
      </c>
      <c r="F355" s="37">
        <v>19</v>
      </c>
      <c r="G355" s="25" t="s">
        <v>201</v>
      </c>
      <c r="H355" s="37" t="s">
        <v>208</v>
      </c>
      <c r="I355" s="40">
        <v>0.75</v>
      </c>
    </row>
    <row r="356" spans="1:9" ht="13.8" x14ac:dyDescent="0.3">
      <c r="A356" s="28" t="s">
        <v>209</v>
      </c>
      <c r="B356" s="35"/>
      <c r="C356" s="36"/>
      <c r="D356" s="36" t="s">
        <v>210</v>
      </c>
      <c r="E356" s="29"/>
      <c r="F356" s="30"/>
      <c r="G356" s="29" t="s">
        <v>211</v>
      </c>
      <c r="H356" s="30"/>
      <c r="I356" s="41"/>
    </row>
    <row r="357" spans="1:9" ht="13.8" x14ac:dyDescent="0.3">
      <c r="A357" s="42" t="s">
        <v>212</v>
      </c>
      <c r="B357" s="22"/>
      <c r="C357" s="22"/>
      <c r="D357" s="22"/>
      <c r="E357" s="22"/>
      <c r="F357" s="22"/>
      <c r="G357" s="22"/>
      <c r="H357" s="22"/>
      <c r="I357" s="23"/>
    </row>
    <row r="358" spans="1:9" ht="13.8" x14ac:dyDescent="0.3">
      <c r="A358" s="43"/>
      <c r="B358" s="25"/>
      <c r="C358" s="25"/>
      <c r="D358" s="25"/>
      <c r="E358" s="25"/>
      <c r="F358" s="25"/>
      <c r="G358" s="25"/>
      <c r="H358" s="26"/>
      <c r="I358" s="44"/>
    </row>
    <row r="359" spans="1:9" ht="13.8" x14ac:dyDescent="0.3">
      <c r="A359" s="45"/>
      <c r="B359" s="22" t="s">
        <v>213</v>
      </c>
      <c r="C359" s="22"/>
      <c r="D359" s="22" t="s">
        <v>214</v>
      </c>
      <c r="E359" s="22" t="s">
        <v>215</v>
      </c>
      <c r="F359" s="22">
        <v>4200</v>
      </c>
      <c r="G359" s="46" t="s">
        <v>216</v>
      </c>
      <c r="H359" s="37"/>
      <c r="I359" s="47">
        <f>(C349-C351)/C353</f>
        <v>170.98333333333332</v>
      </c>
    </row>
    <row r="360" spans="1:9" ht="13.8" x14ac:dyDescent="0.3">
      <c r="A360" s="45" t="s">
        <v>217</v>
      </c>
      <c r="B360" s="22" t="s">
        <v>218</v>
      </c>
      <c r="C360" s="22"/>
      <c r="D360" s="22" t="s">
        <v>219</v>
      </c>
      <c r="E360" s="48" t="s">
        <v>220</v>
      </c>
      <c r="F360" s="22"/>
      <c r="G360" s="22" t="s">
        <v>221</v>
      </c>
      <c r="H360" s="37"/>
      <c r="I360" s="47">
        <f>(((C349+C351)/(2*F343))*I349)</f>
        <v>0</v>
      </c>
    </row>
    <row r="361" spans="1:9" ht="13.8" x14ac:dyDescent="0.3">
      <c r="A361" s="45" t="s">
        <v>222</v>
      </c>
      <c r="B361" s="22" t="s">
        <v>223</v>
      </c>
      <c r="C361" s="22"/>
      <c r="D361" s="22" t="s">
        <v>224</v>
      </c>
      <c r="E361" s="22" t="s">
        <v>225</v>
      </c>
      <c r="F361" s="49" t="s">
        <v>226</v>
      </c>
      <c r="G361" s="46" t="s">
        <v>216</v>
      </c>
      <c r="H361" s="37"/>
      <c r="I361" s="47">
        <f>(C349+C351)/2*(I351/F343)</f>
        <v>5.1289999999999996</v>
      </c>
    </row>
    <row r="362" spans="1:9" ht="13.8" x14ac:dyDescent="0.3">
      <c r="A362" s="50"/>
      <c r="B362" s="22" t="s">
        <v>227</v>
      </c>
      <c r="C362" s="22"/>
      <c r="D362" s="22"/>
      <c r="E362" s="22">
        <v>0.8</v>
      </c>
      <c r="F362" s="51">
        <v>68.430000000000007</v>
      </c>
      <c r="G362" s="46" t="s">
        <v>216</v>
      </c>
      <c r="H362" s="37"/>
      <c r="I362" s="47">
        <f>(I353*I359)</f>
        <v>136.78666666666666</v>
      </c>
    </row>
    <row r="363" spans="1:9" ht="13.8" x14ac:dyDescent="0.3">
      <c r="A363" s="52"/>
      <c r="B363" s="22"/>
      <c r="C363" s="22"/>
      <c r="D363" s="22"/>
      <c r="E363" s="22"/>
      <c r="F363" s="22"/>
      <c r="G363" s="22"/>
      <c r="H363" s="37" t="s">
        <v>228</v>
      </c>
      <c r="I363" s="53">
        <f>SUM(I359,I360,I361,I362,)</f>
        <v>312.899</v>
      </c>
    </row>
    <row r="364" spans="1:9" ht="13.8" x14ac:dyDescent="0.3">
      <c r="A364" s="24"/>
      <c r="B364" s="34"/>
      <c r="C364" s="25"/>
      <c r="D364" s="25"/>
      <c r="E364" s="25"/>
      <c r="F364" s="25"/>
      <c r="G364" s="38"/>
      <c r="H364" s="38"/>
      <c r="I364" s="44"/>
    </row>
    <row r="365" spans="1:9" ht="13.8" x14ac:dyDescent="0.3">
      <c r="A365" s="21"/>
      <c r="B365" s="33" t="s">
        <v>229</v>
      </c>
      <c r="C365" s="22"/>
      <c r="D365" s="22">
        <v>0.2271</v>
      </c>
      <c r="E365" s="22">
        <v>6</v>
      </c>
      <c r="F365" s="26">
        <f>'Precios de Mat.'!$B$19</f>
        <v>0</v>
      </c>
      <c r="G365" s="32"/>
      <c r="H365" s="54"/>
      <c r="I365" s="55">
        <f>F351*F347*F353</f>
        <v>0</v>
      </c>
    </row>
    <row r="366" spans="1:9" ht="13.8" x14ac:dyDescent="0.3">
      <c r="A366" s="21" t="s">
        <v>230</v>
      </c>
      <c r="B366" s="33" t="s">
        <v>231</v>
      </c>
      <c r="C366" s="22"/>
      <c r="D366" s="22" t="s">
        <v>232</v>
      </c>
      <c r="E366" s="22"/>
      <c r="F366" s="22"/>
      <c r="G366" s="32"/>
      <c r="H366" s="32"/>
      <c r="I366" s="56">
        <f>(F355/I343*I347+H366)+(I345*F347*I347)</f>
        <v>0</v>
      </c>
    </row>
    <row r="367" spans="1:9" ht="13.8" x14ac:dyDescent="0.3">
      <c r="A367" s="21" t="s">
        <v>233</v>
      </c>
      <c r="B367" s="33" t="s">
        <v>234</v>
      </c>
      <c r="C367" s="22"/>
      <c r="D367" s="22" t="s">
        <v>235</v>
      </c>
      <c r="E367" s="22">
        <v>0</v>
      </c>
      <c r="F367" s="22"/>
      <c r="G367" s="32"/>
      <c r="H367" s="32"/>
      <c r="I367" s="55">
        <v>0</v>
      </c>
    </row>
    <row r="368" spans="1:9" ht="13.8" x14ac:dyDescent="0.3">
      <c r="A368" s="28"/>
      <c r="B368" s="36"/>
      <c r="C368" s="29"/>
      <c r="D368" s="29"/>
      <c r="E368" s="29"/>
      <c r="F368" s="29"/>
      <c r="G368" s="35"/>
      <c r="H368" s="35" t="s">
        <v>228</v>
      </c>
      <c r="I368" s="53">
        <f>SUM(I365:I367)</f>
        <v>0</v>
      </c>
    </row>
    <row r="369" spans="1:9" ht="13.8" x14ac:dyDescent="0.3">
      <c r="A369" s="57"/>
      <c r="B369" s="22"/>
      <c r="C369" s="22"/>
      <c r="D369" s="22"/>
      <c r="E369" s="22"/>
      <c r="F369" s="22"/>
      <c r="G369" s="22"/>
      <c r="H369" s="37"/>
      <c r="I369" s="58"/>
    </row>
    <row r="370" spans="1:9" ht="13.8" x14ac:dyDescent="0.3">
      <c r="A370" s="50"/>
      <c r="B370" s="22"/>
      <c r="C370" s="22"/>
      <c r="D370" s="22"/>
      <c r="E370" s="22"/>
      <c r="F370" s="22"/>
      <c r="G370" s="22"/>
      <c r="H370" s="37"/>
      <c r="I370" s="59"/>
    </row>
    <row r="371" spans="1:9" ht="13.8" x14ac:dyDescent="0.3">
      <c r="A371" s="50" t="s">
        <v>236</v>
      </c>
      <c r="B371" s="22"/>
      <c r="C371" s="22" t="s">
        <v>237</v>
      </c>
      <c r="D371" s="22"/>
      <c r="E371" s="22"/>
      <c r="F371" s="22"/>
      <c r="G371" s="22"/>
      <c r="H371" s="60" t="s">
        <v>238</v>
      </c>
      <c r="I371" s="61">
        <f>F349/F343*286.25</f>
        <v>48.218430833333329</v>
      </c>
    </row>
    <row r="372" spans="1:9" ht="13.8" x14ac:dyDescent="0.3">
      <c r="A372" s="52" t="s">
        <v>239</v>
      </c>
      <c r="B372" s="29"/>
      <c r="C372" s="29"/>
      <c r="D372" s="29"/>
      <c r="E372" s="29"/>
      <c r="F372" s="29"/>
      <c r="G372" s="29"/>
      <c r="H372" s="30"/>
      <c r="I372" s="41"/>
    </row>
    <row r="373" spans="1:9" ht="14.4" thickBot="1" x14ac:dyDescent="0.35">
      <c r="A373" s="62"/>
      <c r="B373" s="63"/>
      <c r="C373" s="63"/>
      <c r="D373" s="63"/>
      <c r="E373" s="63"/>
      <c r="F373" s="63" t="s">
        <v>240</v>
      </c>
      <c r="G373" s="63"/>
      <c r="H373" s="64" t="s">
        <v>241</v>
      </c>
      <c r="I373" s="65">
        <f>SUM(I363,I368,I371,)</f>
        <v>361.11743083333334</v>
      </c>
    </row>
    <row r="374" spans="1:9" ht="13.8" x14ac:dyDescent="0.3">
      <c r="A374" s="22"/>
      <c r="B374" s="22"/>
      <c r="C374" s="22"/>
      <c r="D374" s="22"/>
      <c r="E374" s="22"/>
      <c r="F374" s="22"/>
      <c r="G374" s="22"/>
      <c r="H374" s="22"/>
      <c r="I374" s="66"/>
    </row>
    <row r="375" spans="1:9" ht="13.8" x14ac:dyDescent="0.3">
      <c r="A375" s="22"/>
      <c r="B375" s="22"/>
      <c r="C375" s="22"/>
      <c r="D375" s="22"/>
      <c r="E375" s="22"/>
      <c r="F375" s="22"/>
      <c r="G375" s="22"/>
      <c r="H375" s="22"/>
      <c r="I375" s="66"/>
    </row>
    <row r="376" spans="1:9" ht="14.4" thickBot="1" x14ac:dyDescent="0.35">
      <c r="A376" s="67"/>
      <c r="B376" s="67"/>
      <c r="C376" s="67"/>
      <c r="D376" s="67"/>
      <c r="E376" s="67"/>
      <c r="F376" s="67"/>
      <c r="G376" s="67"/>
      <c r="H376" s="67"/>
      <c r="I376" s="20"/>
    </row>
    <row r="377" spans="1:9" ht="13.8" x14ac:dyDescent="0.3">
      <c r="A377" s="227" t="s">
        <v>264</v>
      </c>
      <c r="B377" s="228"/>
      <c r="C377" s="228"/>
      <c r="D377" s="228"/>
      <c r="E377" s="228"/>
      <c r="F377" s="228"/>
      <c r="G377" s="228"/>
      <c r="H377" s="228"/>
      <c r="I377" s="229"/>
    </row>
    <row r="378" spans="1:9" ht="13.8" x14ac:dyDescent="0.3">
      <c r="A378" s="230" t="s">
        <v>265</v>
      </c>
      <c r="B378" s="231"/>
      <c r="C378" s="231"/>
      <c r="D378" s="231"/>
      <c r="E378" s="231"/>
      <c r="F378" s="231"/>
      <c r="G378" s="231"/>
      <c r="H378" s="231"/>
      <c r="I378" s="232"/>
    </row>
    <row r="379" spans="1:9" ht="13.8" x14ac:dyDescent="0.3">
      <c r="A379" s="21"/>
      <c r="B379" s="22"/>
      <c r="C379" s="22"/>
      <c r="D379" s="22"/>
      <c r="E379" s="22"/>
      <c r="F379" s="22"/>
      <c r="G379" s="22"/>
      <c r="H379" s="22"/>
      <c r="I379" s="23"/>
    </row>
    <row r="380" spans="1:9" ht="13.8" x14ac:dyDescent="0.3">
      <c r="A380" s="24" t="s">
        <v>159</v>
      </c>
      <c r="B380" s="25" t="s">
        <v>160</v>
      </c>
      <c r="C380" s="26">
        <v>554100</v>
      </c>
      <c r="D380" s="25" t="s">
        <v>161</v>
      </c>
      <c r="E380" s="25" t="s">
        <v>162</v>
      </c>
      <c r="F380" s="26">
        <v>2000</v>
      </c>
      <c r="G380" s="25" t="s">
        <v>163</v>
      </c>
      <c r="H380" s="26" t="s">
        <v>164</v>
      </c>
      <c r="I380" s="27">
        <v>200</v>
      </c>
    </row>
    <row r="381" spans="1:9" ht="13.8" x14ac:dyDescent="0.3">
      <c r="A381" s="28" t="s">
        <v>165</v>
      </c>
      <c r="B381" s="29"/>
      <c r="C381" s="30"/>
      <c r="D381" s="29" t="s">
        <v>166</v>
      </c>
      <c r="E381" s="29"/>
      <c r="F381" s="30"/>
      <c r="G381" s="29" t="s">
        <v>167</v>
      </c>
      <c r="H381" s="30"/>
      <c r="I381" s="31"/>
    </row>
    <row r="382" spans="1:9" ht="13.8" x14ac:dyDescent="0.3">
      <c r="A382" s="21" t="s">
        <v>168</v>
      </c>
      <c r="B382" s="32" t="s">
        <v>169</v>
      </c>
      <c r="C382" s="33">
        <v>0</v>
      </c>
      <c r="D382" s="34" t="s">
        <v>170</v>
      </c>
      <c r="E382" s="25" t="s">
        <v>171</v>
      </c>
      <c r="F382" s="26">
        <v>73</v>
      </c>
      <c r="G382" s="22" t="s">
        <v>172</v>
      </c>
      <c r="H382" s="26" t="s">
        <v>173</v>
      </c>
      <c r="I382" s="27">
        <v>3.0699999999999998E-3</v>
      </c>
    </row>
    <row r="383" spans="1:9" ht="13.8" x14ac:dyDescent="0.3">
      <c r="A383" s="28" t="s">
        <v>174</v>
      </c>
      <c r="B383" s="35"/>
      <c r="C383" s="36"/>
      <c r="D383" s="36"/>
      <c r="E383" s="29"/>
      <c r="F383" s="37"/>
      <c r="G383" s="29"/>
      <c r="H383" s="30"/>
      <c r="I383" s="31"/>
    </row>
    <row r="384" spans="1:9" ht="13.8" x14ac:dyDescent="0.3">
      <c r="A384" s="24" t="s">
        <v>175</v>
      </c>
      <c r="B384" s="38" t="s">
        <v>176</v>
      </c>
      <c r="C384" s="34">
        <v>27800</v>
      </c>
      <c r="D384" s="34" t="s">
        <v>170</v>
      </c>
      <c r="E384" s="25" t="s">
        <v>177</v>
      </c>
      <c r="F384" s="39">
        <v>54.75</v>
      </c>
      <c r="G384" s="25" t="s">
        <v>178</v>
      </c>
      <c r="H384" s="26" t="s">
        <v>179</v>
      </c>
      <c r="I384" s="27">
        <f>'Precios de Mat.'!$B$22</f>
        <v>0</v>
      </c>
    </row>
    <row r="385" spans="1:9" ht="13.8" x14ac:dyDescent="0.3">
      <c r="A385" s="28" t="s">
        <v>180</v>
      </c>
      <c r="B385" s="35"/>
      <c r="C385" s="36"/>
      <c r="D385" s="36" t="s">
        <v>181</v>
      </c>
      <c r="E385" s="29"/>
      <c r="F385" s="30"/>
      <c r="G385" s="29" t="s">
        <v>172</v>
      </c>
      <c r="H385" s="30"/>
      <c r="I385" s="31"/>
    </row>
    <row r="386" spans="1:9" ht="13.8" x14ac:dyDescent="0.3">
      <c r="A386" s="24" t="s">
        <v>182</v>
      </c>
      <c r="B386" s="38" t="s">
        <v>183</v>
      </c>
      <c r="C386" s="34">
        <v>527700</v>
      </c>
      <c r="D386" s="33" t="s">
        <v>184</v>
      </c>
      <c r="E386" s="22" t="s">
        <v>266</v>
      </c>
      <c r="F386" s="37">
        <v>239.43100000000001</v>
      </c>
      <c r="G386" s="25" t="s">
        <v>186</v>
      </c>
      <c r="H386" s="26" t="s">
        <v>187</v>
      </c>
      <c r="I386" s="119">
        <f>'Precios de Mat.'!$B$24</f>
        <v>0</v>
      </c>
    </row>
    <row r="387" spans="1:9" ht="13.8" x14ac:dyDescent="0.3">
      <c r="A387" s="28" t="s">
        <v>188</v>
      </c>
      <c r="B387" s="35"/>
      <c r="C387" s="36"/>
      <c r="D387" s="33" t="s">
        <v>189</v>
      </c>
      <c r="E387" s="22"/>
      <c r="F387" s="30"/>
      <c r="G387" s="29" t="s">
        <v>190</v>
      </c>
      <c r="H387" s="30"/>
      <c r="I387" s="31"/>
    </row>
    <row r="388" spans="1:9" ht="13.8" x14ac:dyDescent="0.3">
      <c r="A388" s="24" t="s">
        <v>175</v>
      </c>
      <c r="B388" s="38" t="s">
        <v>191</v>
      </c>
      <c r="C388" s="34">
        <v>110800</v>
      </c>
      <c r="D388" s="34" t="s">
        <v>192</v>
      </c>
      <c r="E388" s="25" t="s">
        <v>193</v>
      </c>
      <c r="F388" s="26">
        <v>0.15140000000000001</v>
      </c>
      <c r="G388" s="25" t="s">
        <v>194</v>
      </c>
      <c r="H388" s="26" t="s">
        <v>195</v>
      </c>
      <c r="I388" s="27">
        <v>0.01</v>
      </c>
    </row>
    <row r="389" spans="1:9" ht="13.8" x14ac:dyDescent="0.3">
      <c r="A389" s="28" t="s">
        <v>196</v>
      </c>
      <c r="B389" s="35"/>
      <c r="C389" s="36"/>
      <c r="D389" s="36"/>
      <c r="E389" s="29"/>
      <c r="F389" s="30"/>
      <c r="G389" s="29" t="s">
        <v>197</v>
      </c>
      <c r="H389" s="30"/>
      <c r="I389" s="31"/>
    </row>
    <row r="390" spans="1:9" ht="13.8" x14ac:dyDescent="0.3">
      <c r="A390" s="21" t="s">
        <v>198</v>
      </c>
      <c r="B390" s="32" t="s">
        <v>199</v>
      </c>
      <c r="C390" s="33">
        <v>14000</v>
      </c>
      <c r="D390" s="34" t="s">
        <v>159</v>
      </c>
      <c r="E390" s="25" t="s">
        <v>200</v>
      </c>
      <c r="F390" s="26">
        <f>'Precios de Mat.'!$B$21</f>
        <v>0</v>
      </c>
      <c r="G390" s="25" t="s">
        <v>201</v>
      </c>
      <c r="H390" s="26" t="s">
        <v>202</v>
      </c>
      <c r="I390" s="27">
        <v>0.8</v>
      </c>
    </row>
    <row r="391" spans="1:9" ht="13.8" x14ac:dyDescent="0.3">
      <c r="A391" s="28" t="s">
        <v>203</v>
      </c>
      <c r="B391" s="35"/>
      <c r="C391" s="36"/>
      <c r="D391" s="36" t="s">
        <v>192</v>
      </c>
      <c r="E391" s="29"/>
      <c r="F391" s="30"/>
      <c r="G391" s="29" t="s">
        <v>204</v>
      </c>
      <c r="H391" s="30"/>
      <c r="I391" s="31"/>
    </row>
    <row r="392" spans="1:9" ht="13.8" x14ac:dyDescent="0.3">
      <c r="A392" s="24" t="s">
        <v>198</v>
      </c>
      <c r="B392" s="38" t="s">
        <v>205</v>
      </c>
      <c r="C392" s="34">
        <v>1000</v>
      </c>
      <c r="D392" s="33" t="s">
        <v>206</v>
      </c>
      <c r="E392" s="22" t="s">
        <v>207</v>
      </c>
      <c r="F392" s="37">
        <v>8</v>
      </c>
      <c r="G392" s="25" t="s">
        <v>201</v>
      </c>
      <c r="H392" s="37" t="s">
        <v>208</v>
      </c>
      <c r="I392" s="40">
        <v>0.75</v>
      </c>
    </row>
    <row r="393" spans="1:9" ht="13.8" x14ac:dyDescent="0.3">
      <c r="A393" s="28" t="s">
        <v>209</v>
      </c>
      <c r="B393" s="35"/>
      <c r="C393" s="36"/>
      <c r="D393" s="36" t="s">
        <v>210</v>
      </c>
      <c r="E393" s="29"/>
      <c r="F393" s="30"/>
      <c r="G393" s="29" t="s">
        <v>211</v>
      </c>
      <c r="H393" s="30"/>
      <c r="I393" s="41"/>
    </row>
    <row r="394" spans="1:9" ht="13.8" x14ac:dyDescent="0.3">
      <c r="A394" s="42" t="s">
        <v>212</v>
      </c>
      <c r="B394" s="22"/>
      <c r="C394" s="22"/>
      <c r="D394" s="22"/>
      <c r="E394" s="22"/>
      <c r="F394" s="22"/>
      <c r="G394" s="22"/>
      <c r="H394" s="22"/>
      <c r="I394" s="23"/>
    </row>
    <row r="395" spans="1:9" ht="13.8" x14ac:dyDescent="0.3">
      <c r="A395" s="43"/>
      <c r="B395" s="25"/>
      <c r="C395" s="25"/>
      <c r="D395" s="25"/>
      <c r="E395" s="25"/>
      <c r="F395" s="25"/>
      <c r="G395" s="25"/>
      <c r="H395" s="26"/>
      <c r="I395" s="44"/>
    </row>
    <row r="396" spans="1:9" ht="13.8" x14ac:dyDescent="0.3">
      <c r="A396" s="45"/>
      <c r="B396" s="22" t="s">
        <v>213</v>
      </c>
      <c r="C396" s="22"/>
      <c r="D396" s="22" t="s">
        <v>214</v>
      </c>
      <c r="E396" s="22" t="s">
        <v>215</v>
      </c>
      <c r="F396" s="22">
        <v>4200</v>
      </c>
      <c r="G396" s="46" t="s">
        <v>216</v>
      </c>
      <c r="H396" s="37"/>
      <c r="I396" s="47">
        <f>(C386-C388)/C390</f>
        <v>29.778571428571428</v>
      </c>
    </row>
    <row r="397" spans="1:9" ht="13.8" x14ac:dyDescent="0.3">
      <c r="A397" s="45" t="s">
        <v>217</v>
      </c>
      <c r="B397" s="22" t="s">
        <v>218</v>
      </c>
      <c r="C397" s="22"/>
      <c r="D397" s="22" t="s">
        <v>219</v>
      </c>
      <c r="E397" s="48" t="s">
        <v>220</v>
      </c>
      <c r="F397" s="22"/>
      <c r="G397" s="22" t="s">
        <v>221</v>
      </c>
      <c r="H397" s="37"/>
      <c r="I397" s="47">
        <f>(((C386+C388)/(2*F380))*I386)</f>
        <v>0</v>
      </c>
    </row>
    <row r="398" spans="1:9" ht="13.8" x14ac:dyDescent="0.3">
      <c r="A398" s="45" t="s">
        <v>222</v>
      </c>
      <c r="B398" s="22" t="s">
        <v>223</v>
      </c>
      <c r="C398" s="22"/>
      <c r="D398" s="22" t="s">
        <v>224</v>
      </c>
      <c r="E398" s="22" t="s">
        <v>225</v>
      </c>
      <c r="F398" s="49" t="s">
        <v>226</v>
      </c>
      <c r="G398" s="46" t="s">
        <v>216</v>
      </c>
      <c r="H398" s="37"/>
      <c r="I398" s="47">
        <f>(C386+C388)/2*(I388/F380)</f>
        <v>1.5962500000000002</v>
      </c>
    </row>
    <row r="399" spans="1:9" ht="13.8" x14ac:dyDescent="0.3">
      <c r="A399" s="50"/>
      <c r="B399" s="22" t="s">
        <v>227</v>
      </c>
      <c r="C399" s="22"/>
      <c r="D399" s="22"/>
      <c r="E399" s="22">
        <v>0.8</v>
      </c>
      <c r="F399" s="51">
        <v>68.430000000000007</v>
      </c>
      <c r="G399" s="46" t="s">
        <v>216</v>
      </c>
      <c r="H399" s="37"/>
      <c r="I399" s="47">
        <f>(I390*I396)</f>
        <v>23.822857142857146</v>
      </c>
    </row>
    <row r="400" spans="1:9" ht="13.8" x14ac:dyDescent="0.3">
      <c r="A400" s="52"/>
      <c r="B400" s="22"/>
      <c r="C400" s="22"/>
      <c r="D400" s="22"/>
      <c r="E400" s="22"/>
      <c r="F400" s="22"/>
      <c r="G400" s="22"/>
      <c r="H400" s="37" t="s">
        <v>228</v>
      </c>
      <c r="I400" s="53">
        <f>SUM(I396,I397,I398,I399,)</f>
        <v>55.197678571428575</v>
      </c>
    </row>
    <row r="401" spans="1:9" ht="13.8" x14ac:dyDescent="0.3">
      <c r="A401" s="24"/>
      <c r="B401" s="34"/>
      <c r="C401" s="25"/>
      <c r="D401" s="25"/>
      <c r="E401" s="25"/>
      <c r="F401" s="25"/>
      <c r="G401" s="38"/>
      <c r="H401" s="38"/>
      <c r="I401" s="44"/>
    </row>
    <row r="402" spans="1:9" ht="13.8" x14ac:dyDescent="0.3">
      <c r="A402" s="21"/>
      <c r="B402" s="33" t="s">
        <v>229</v>
      </c>
      <c r="C402" s="22"/>
      <c r="D402" s="22">
        <v>0.2271</v>
      </c>
      <c r="E402" s="22">
        <v>6</v>
      </c>
      <c r="F402" s="26">
        <f>'Precios de Mat.'!$B$21</f>
        <v>0</v>
      </c>
      <c r="G402" s="32"/>
      <c r="H402" s="54"/>
      <c r="I402" s="55">
        <f>F388*F384*F390</f>
        <v>0</v>
      </c>
    </row>
    <row r="403" spans="1:9" ht="13.8" x14ac:dyDescent="0.3">
      <c r="A403" s="21" t="s">
        <v>230</v>
      </c>
      <c r="B403" s="33" t="s">
        <v>231</v>
      </c>
      <c r="C403" s="22"/>
      <c r="D403" s="22" t="s">
        <v>232</v>
      </c>
      <c r="E403" s="22"/>
      <c r="F403" s="22"/>
      <c r="G403" s="32"/>
      <c r="H403" s="32"/>
      <c r="I403" s="56">
        <f>(F392/I380*I384+H403)+(I382*F384*I384)</f>
        <v>0</v>
      </c>
    </row>
    <row r="404" spans="1:9" ht="13.8" x14ac:dyDescent="0.3">
      <c r="A404" s="21" t="s">
        <v>233</v>
      </c>
      <c r="B404" s="33" t="s">
        <v>234</v>
      </c>
      <c r="C404" s="22"/>
      <c r="D404" s="22" t="s">
        <v>235</v>
      </c>
      <c r="E404" s="22">
        <v>0</v>
      </c>
      <c r="F404" s="22"/>
      <c r="G404" s="32"/>
      <c r="H404" s="32"/>
      <c r="I404" s="55">
        <f>C384/C392</f>
        <v>27.8</v>
      </c>
    </row>
    <row r="405" spans="1:9" ht="13.8" x14ac:dyDescent="0.3">
      <c r="A405" s="28"/>
      <c r="B405" s="36"/>
      <c r="C405" s="29"/>
      <c r="D405" s="29"/>
      <c r="E405" s="29"/>
      <c r="F405" s="29"/>
      <c r="G405" s="35"/>
      <c r="H405" s="35" t="s">
        <v>228</v>
      </c>
      <c r="I405" s="53">
        <f>SUM(I402:I404)</f>
        <v>27.8</v>
      </c>
    </row>
    <row r="406" spans="1:9" ht="13.8" x14ac:dyDescent="0.3">
      <c r="A406" s="57"/>
      <c r="B406" s="22"/>
      <c r="C406" s="22"/>
      <c r="D406" s="22"/>
      <c r="E406" s="22"/>
      <c r="F406" s="22"/>
      <c r="G406" s="22"/>
      <c r="H406" s="37"/>
      <c r="I406" s="58"/>
    </row>
    <row r="407" spans="1:9" ht="13.8" x14ac:dyDescent="0.3">
      <c r="A407" s="50"/>
      <c r="B407" s="22"/>
      <c r="C407" s="22"/>
      <c r="D407" s="22"/>
      <c r="E407" s="22"/>
      <c r="F407" s="22"/>
      <c r="G407" s="22"/>
      <c r="H407" s="37"/>
      <c r="I407" s="59"/>
    </row>
    <row r="408" spans="1:9" ht="13.8" x14ac:dyDescent="0.3">
      <c r="A408" s="50" t="s">
        <v>236</v>
      </c>
      <c r="B408" s="22"/>
      <c r="C408" s="22" t="s">
        <v>237</v>
      </c>
      <c r="D408" s="22"/>
      <c r="E408" s="22"/>
      <c r="F408" s="22"/>
      <c r="G408" s="22"/>
      <c r="H408" s="60" t="s">
        <v>238</v>
      </c>
      <c r="I408" s="61">
        <f>F386/F380*286.25</f>
        <v>34.268561875000003</v>
      </c>
    </row>
    <row r="409" spans="1:9" ht="13.8" x14ac:dyDescent="0.3">
      <c r="A409" s="52" t="s">
        <v>239</v>
      </c>
      <c r="B409" s="29"/>
      <c r="C409" s="29"/>
      <c r="D409" s="29"/>
      <c r="E409" s="29"/>
      <c r="F409" s="29"/>
      <c r="G409" s="29"/>
      <c r="H409" s="30"/>
      <c r="I409" s="41"/>
    </row>
    <row r="410" spans="1:9" ht="14.4" thickBot="1" x14ac:dyDescent="0.35">
      <c r="A410" s="62"/>
      <c r="B410" s="63"/>
      <c r="C410" s="63"/>
      <c r="D410" s="63"/>
      <c r="E410" s="63"/>
      <c r="F410" s="63" t="s">
        <v>240</v>
      </c>
      <c r="G410" s="63"/>
      <c r="H410" s="64" t="s">
        <v>241</v>
      </c>
      <c r="I410" s="65">
        <f>SUM(I400,I405,I408,)</f>
        <v>117.26624044642858</v>
      </c>
    </row>
    <row r="411" spans="1:9" ht="13.8" x14ac:dyDescent="0.3">
      <c r="A411" s="67"/>
      <c r="B411" s="67"/>
      <c r="C411" s="67"/>
      <c r="D411" s="67"/>
      <c r="E411" s="67"/>
      <c r="F411" s="67"/>
      <c r="G411" s="67"/>
      <c r="H411" s="67"/>
      <c r="I411" s="20"/>
    </row>
    <row r="412" spans="1:9" ht="13.8" x14ac:dyDescent="0.3">
      <c r="A412" s="67"/>
      <c r="B412" s="67"/>
      <c r="C412" s="67"/>
      <c r="D412" s="67"/>
      <c r="E412" s="67"/>
      <c r="F412" s="67"/>
      <c r="G412" s="67"/>
      <c r="H412" s="67"/>
      <c r="I412" s="20"/>
    </row>
    <row r="413" spans="1:9" ht="14.4" thickBot="1" x14ac:dyDescent="0.35">
      <c r="A413" s="67"/>
      <c r="B413" s="67"/>
      <c r="C413" s="67"/>
      <c r="D413" s="67"/>
      <c r="E413" s="67"/>
      <c r="F413" s="67"/>
      <c r="G413" s="67"/>
      <c r="H413" s="67"/>
      <c r="I413" s="20"/>
    </row>
    <row r="414" spans="1:9" ht="13.8" x14ac:dyDescent="0.3">
      <c r="A414" s="227" t="s">
        <v>267</v>
      </c>
      <c r="B414" s="228"/>
      <c r="C414" s="228"/>
      <c r="D414" s="228"/>
      <c r="E414" s="228"/>
      <c r="F414" s="228"/>
      <c r="G414" s="228"/>
      <c r="H414" s="228"/>
      <c r="I414" s="229"/>
    </row>
    <row r="415" spans="1:9" ht="13.8" x14ac:dyDescent="0.3">
      <c r="A415" s="230"/>
      <c r="B415" s="231"/>
      <c r="C415" s="231"/>
      <c r="D415" s="231"/>
      <c r="E415" s="231"/>
      <c r="F415" s="231"/>
      <c r="G415" s="231"/>
      <c r="H415" s="231"/>
      <c r="I415" s="232"/>
    </row>
    <row r="416" spans="1:9" ht="13.8" x14ac:dyDescent="0.3">
      <c r="A416" s="21"/>
      <c r="B416" s="22"/>
      <c r="C416" s="22"/>
      <c r="D416" s="22"/>
      <c r="E416" s="22"/>
      <c r="F416" s="22"/>
      <c r="G416" s="22"/>
      <c r="H416" s="22"/>
      <c r="I416" s="23"/>
    </row>
    <row r="417" spans="1:9" ht="13.8" x14ac:dyDescent="0.3">
      <c r="A417" s="24" t="s">
        <v>159</v>
      </c>
      <c r="B417" s="25" t="s">
        <v>160</v>
      </c>
      <c r="C417" s="26">
        <v>8300</v>
      </c>
      <c r="D417" s="25" t="s">
        <v>161</v>
      </c>
      <c r="E417" s="25" t="s">
        <v>162</v>
      </c>
      <c r="F417" s="26">
        <v>1400</v>
      </c>
      <c r="G417" s="25" t="s">
        <v>163</v>
      </c>
      <c r="H417" s="26" t="s">
        <v>164</v>
      </c>
      <c r="I417" s="27">
        <v>0</v>
      </c>
    </row>
    <row r="418" spans="1:9" ht="13.8" x14ac:dyDescent="0.3">
      <c r="A418" s="28" t="s">
        <v>165</v>
      </c>
      <c r="B418" s="29"/>
      <c r="C418" s="30"/>
      <c r="D418" s="29" t="s">
        <v>166</v>
      </c>
      <c r="E418" s="29"/>
      <c r="F418" s="30"/>
      <c r="G418" s="29" t="s">
        <v>167</v>
      </c>
      <c r="H418" s="30"/>
      <c r="I418" s="31"/>
    </row>
    <row r="419" spans="1:9" ht="13.8" x14ac:dyDescent="0.3">
      <c r="A419" s="21" t="s">
        <v>168</v>
      </c>
      <c r="B419" s="32" t="s">
        <v>169</v>
      </c>
      <c r="C419" s="33">
        <v>0</v>
      </c>
      <c r="D419" s="34" t="s">
        <v>170</v>
      </c>
      <c r="E419" s="25" t="s">
        <v>171</v>
      </c>
      <c r="F419" s="26">
        <v>0</v>
      </c>
      <c r="G419" s="22" t="s">
        <v>172</v>
      </c>
      <c r="H419" s="26" t="s">
        <v>173</v>
      </c>
      <c r="I419" s="27">
        <v>3.0699999999999998E-3</v>
      </c>
    </row>
    <row r="420" spans="1:9" ht="13.8" x14ac:dyDescent="0.3">
      <c r="A420" s="28" t="s">
        <v>174</v>
      </c>
      <c r="B420" s="35"/>
      <c r="C420" s="36"/>
      <c r="D420" s="36"/>
      <c r="E420" s="29"/>
      <c r="F420" s="37"/>
      <c r="G420" s="29"/>
      <c r="H420" s="30"/>
      <c r="I420" s="31"/>
    </row>
    <row r="421" spans="1:9" ht="13.8" x14ac:dyDescent="0.3">
      <c r="A421" s="24" t="s">
        <v>175</v>
      </c>
      <c r="B421" s="38" t="s">
        <v>176</v>
      </c>
      <c r="C421" s="34">
        <v>0</v>
      </c>
      <c r="D421" s="34" t="s">
        <v>170</v>
      </c>
      <c r="E421" s="25" t="s">
        <v>177</v>
      </c>
      <c r="F421" s="39">
        <v>0</v>
      </c>
      <c r="G421" s="25" t="s">
        <v>178</v>
      </c>
      <c r="H421" s="26" t="s">
        <v>179</v>
      </c>
      <c r="I421" s="27">
        <v>0</v>
      </c>
    </row>
    <row r="422" spans="1:9" ht="13.8" x14ac:dyDescent="0.3">
      <c r="A422" s="28" t="s">
        <v>180</v>
      </c>
      <c r="B422" s="35"/>
      <c r="C422" s="36"/>
      <c r="D422" s="36" t="s">
        <v>181</v>
      </c>
      <c r="E422" s="29"/>
      <c r="F422" s="30"/>
      <c r="G422" s="29" t="s">
        <v>172</v>
      </c>
      <c r="H422" s="30"/>
      <c r="I422" s="31"/>
    </row>
    <row r="423" spans="1:9" ht="13.8" x14ac:dyDescent="0.3">
      <c r="A423" s="24" t="s">
        <v>182</v>
      </c>
      <c r="B423" s="38" t="s">
        <v>183</v>
      </c>
      <c r="C423" s="34">
        <v>8300</v>
      </c>
      <c r="D423" s="33" t="s">
        <v>184</v>
      </c>
      <c r="E423" s="22" t="s">
        <v>268</v>
      </c>
      <c r="F423" s="37">
        <v>540.81500000000005</v>
      </c>
      <c r="G423" s="25" t="s">
        <v>186</v>
      </c>
      <c r="H423" s="26" t="s">
        <v>187</v>
      </c>
      <c r="I423" s="119">
        <f>'Precios de Mat.'!$B$24</f>
        <v>0</v>
      </c>
    </row>
    <row r="424" spans="1:9" ht="13.8" x14ac:dyDescent="0.3">
      <c r="A424" s="28" t="s">
        <v>188</v>
      </c>
      <c r="B424" s="35"/>
      <c r="C424" s="36"/>
      <c r="D424" s="33" t="s">
        <v>189</v>
      </c>
      <c r="E424" s="22"/>
      <c r="F424" s="30"/>
      <c r="G424" s="29" t="s">
        <v>190</v>
      </c>
      <c r="H424" s="30"/>
      <c r="I424" s="31"/>
    </row>
    <row r="425" spans="1:9" ht="13.8" x14ac:dyDescent="0.3">
      <c r="A425" s="24" t="s">
        <v>175</v>
      </c>
      <c r="B425" s="38" t="s">
        <v>191</v>
      </c>
      <c r="C425" s="34">
        <v>1660</v>
      </c>
      <c r="D425" s="34" t="s">
        <v>192</v>
      </c>
      <c r="E425" s="25" t="s">
        <v>193</v>
      </c>
      <c r="F425" s="26">
        <v>0</v>
      </c>
      <c r="G425" s="25" t="s">
        <v>194</v>
      </c>
      <c r="H425" s="26" t="s">
        <v>195</v>
      </c>
      <c r="I425" s="27">
        <v>0.01</v>
      </c>
    </row>
    <row r="426" spans="1:9" ht="13.8" x14ac:dyDescent="0.3">
      <c r="A426" s="28" t="s">
        <v>196</v>
      </c>
      <c r="B426" s="35"/>
      <c r="C426" s="36"/>
      <c r="D426" s="36"/>
      <c r="E426" s="29"/>
      <c r="F426" s="30"/>
      <c r="G426" s="29" t="s">
        <v>197</v>
      </c>
      <c r="H426" s="30"/>
      <c r="I426" s="31"/>
    </row>
    <row r="427" spans="1:9" ht="13.8" x14ac:dyDescent="0.3">
      <c r="A427" s="21" t="s">
        <v>198</v>
      </c>
      <c r="B427" s="32" t="s">
        <v>199</v>
      </c>
      <c r="C427" s="33">
        <v>14000</v>
      </c>
      <c r="D427" s="34" t="s">
        <v>159</v>
      </c>
      <c r="E427" s="25" t="s">
        <v>200</v>
      </c>
      <c r="F427" s="26">
        <v>0</v>
      </c>
      <c r="G427" s="25" t="s">
        <v>201</v>
      </c>
      <c r="H427" s="26" t="s">
        <v>202</v>
      </c>
      <c r="I427" s="27">
        <v>0.8</v>
      </c>
    </row>
    <row r="428" spans="1:9" ht="13.8" x14ac:dyDescent="0.3">
      <c r="A428" s="28" t="s">
        <v>203</v>
      </c>
      <c r="B428" s="35"/>
      <c r="C428" s="36"/>
      <c r="D428" s="36" t="s">
        <v>192</v>
      </c>
      <c r="E428" s="29"/>
      <c r="F428" s="30"/>
      <c r="G428" s="29" t="s">
        <v>204</v>
      </c>
      <c r="H428" s="30"/>
      <c r="I428" s="31"/>
    </row>
    <row r="429" spans="1:9" ht="13.8" x14ac:dyDescent="0.3">
      <c r="A429" s="24" t="s">
        <v>198</v>
      </c>
      <c r="B429" s="38" t="s">
        <v>205</v>
      </c>
      <c r="C429" s="34">
        <v>0</v>
      </c>
      <c r="D429" s="33" t="s">
        <v>206</v>
      </c>
      <c r="E429" s="22" t="s">
        <v>207</v>
      </c>
      <c r="F429" s="37">
        <v>0</v>
      </c>
      <c r="G429" s="25" t="s">
        <v>201</v>
      </c>
      <c r="H429" s="37" t="s">
        <v>208</v>
      </c>
      <c r="I429" s="40">
        <v>0.9</v>
      </c>
    </row>
    <row r="430" spans="1:9" ht="13.8" x14ac:dyDescent="0.3">
      <c r="A430" s="28" t="s">
        <v>209</v>
      </c>
      <c r="B430" s="35"/>
      <c r="C430" s="36"/>
      <c r="D430" s="36" t="s">
        <v>210</v>
      </c>
      <c r="E430" s="29"/>
      <c r="F430" s="30"/>
      <c r="G430" s="29" t="s">
        <v>211</v>
      </c>
      <c r="H430" s="30"/>
      <c r="I430" s="41"/>
    </row>
    <row r="431" spans="1:9" ht="13.8" x14ac:dyDescent="0.3">
      <c r="A431" s="42" t="s">
        <v>212</v>
      </c>
      <c r="B431" s="22"/>
      <c r="C431" s="22"/>
      <c r="D431" s="22"/>
      <c r="E431" s="22"/>
      <c r="F431" s="22"/>
      <c r="G431" s="22"/>
      <c r="H431" s="22"/>
      <c r="I431" s="23"/>
    </row>
    <row r="432" spans="1:9" ht="13.8" x14ac:dyDescent="0.3">
      <c r="A432" s="43"/>
      <c r="B432" s="25"/>
      <c r="C432" s="25"/>
      <c r="D432" s="25"/>
      <c r="E432" s="25"/>
      <c r="F432" s="25"/>
      <c r="G432" s="25"/>
      <c r="H432" s="26"/>
      <c r="I432" s="44"/>
    </row>
    <row r="433" spans="1:9" ht="13.8" x14ac:dyDescent="0.3">
      <c r="A433" s="45"/>
      <c r="B433" s="22" t="s">
        <v>213</v>
      </c>
      <c r="C433" s="22"/>
      <c r="D433" s="22" t="s">
        <v>214</v>
      </c>
      <c r="E433" s="22" t="s">
        <v>215</v>
      </c>
      <c r="F433" s="22">
        <v>4200</v>
      </c>
      <c r="G433" s="46" t="s">
        <v>216</v>
      </c>
      <c r="H433" s="37"/>
      <c r="I433" s="47">
        <f>(C423-C425)/C427</f>
        <v>0.47428571428571431</v>
      </c>
    </row>
    <row r="434" spans="1:9" ht="13.8" x14ac:dyDescent="0.3">
      <c r="A434" s="45" t="s">
        <v>217</v>
      </c>
      <c r="B434" s="22" t="s">
        <v>218</v>
      </c>
      <c r="C434" s="22"/>
      <c r="D434" s="22" t="s">
        <v>219</v>
      </c>
      <c r="E434" s="48" t="s">
        <v>220</v>
      </c>
      <c r="F434" s="22"/>
      <c r="G434" s="22" t="s">
        <v>221</v>
      </c>
      <c r="H434" s="37"/>
      <c r="I434" s="47">
        <f>(((C423+C425)/(2*F417))*I423)</f>
        <v>0</v>
      </c>
    </row>
    <row r="435" spans="1:9" ht="13.8" x14ac:dyDescent="0.3">
      <c r="A435" s="45" t="s">
        <v>222</v>
      </c>
      <c r="B435" s="22" t="s">
        <v>223</v>
      </c>
      <c r="C435" s="22"/>
      <c r="D435" s="22" t="s">
        <v>224</v>
      </c>
      <c r="E435" s="22" t="s">
        <v>225</v>
      </c>
      <c r="F435" s="49" t="s">
        <v>226</v>
      </c>
      <c r="G435" s="46" t="s">
        <v>216</v>
      </c>
      <c r="H435" s="37"/>
      <c r="I435" s="47">
        <f>(C423+C425)/2*(I425/F417)</f>
        <v>3.5571428571428573E-2</v>
      </c>
    </row>
    <row r="436" spans="1:9" ht="13.8" x14ac:dyDescent="0.3">
      <c r="A436" s="50"/>
      <c r="B436" s="22" t="s">
        <v>227</v>
      </c>
      <c r="C436" s="22"/>
      <c r="D436" s="22"/>
      <c r="E436" s="22">
        <v>0.8</v>
      </c>
      <c r="F436" s="51">
        <v>68.430000000000007</v>
      </c>
      <c r="G436" s="46" t="s">
        <v>216</v>
      </c>
      <c r="H436" s="37"/>
      <c r="I436" s="47">
        <f>(I427*I433)</f>
        <v>0.37942857142857145</v>
      </c>
    </row>
    <row r="437" spans="1:9" ht="13.8" x14ac:dyDescent="0.3">
      <c r="A437" s="52"/>
      <c r="B437" s="22"/>
      <c r="C437" s="22"/>
      <c r="D437" s="22"/>
      <c r="E437" s="22"/>
      <c r="F437" s="22"/>
      <c r="G437" s="22"/>
      <c r="H437" s="37" t="s">
        <v>228</v>
      </c>
      <c r="I437" s="53">
        <f>SUM(I433,I434,I435,I436,)</f>
        <v>0.88928571428571435</v>
      </c>
    </row>
    <row r="438" spans="1:9" ht="13.8" x14ac:dyDescent="0.3">
      <c r="A438" s="24"/>
      <c r="B438" s="34"/>
      <c r="C438" s="25"/>
      <c r="D438" s="25"/>
      <c r="E438" s="25"/>
      <c r="F438" s="25"/>
      <c r="G438" s="38"/>
      <c r="H438" s="38"/>
      <c r="I438" s="44"/>
    </row>
    <row r="439" spans="1:9" ht="13.8" x14ac:dyDescent="0.3">
      <c r="A439" s="21"/>
      <c r="B439" s="33" t="s">
        <v>229</v>
      </c>
      <c r="C439" s="22"/>
      <c r="D439" s="22">
        <v>0.2271</v>
      </c>
      <c r="E439" s="22">
        <v>6</v>
      </c>
      <c r="F439" s="22">
        <v>0</v>
      </c>
      <c r="G439" s="32"/>
      <c r="H439" s="54"/>
      <c r="I439" s="55">
        <f>F425*F421*F427</f>
        <v>0</v>
      </c>
    </row>
    <row r="440" spans="1:9" ht="13.8" x14ac:dyDescent="0.3">
      <c r="A440" s="21" t="s">
        <v>230</v>
      </c>
      <c r="B440" s="33" t="s">
        <v>231</v>
      </c>
      <c r="C440" s="22"/>
      <c r="D440" s="22" t="s">
        <v>232</v>
      </c>
      <c r="E440" s="22"/>
      <c r="F440" s="22"/>
      <c r="G440" s="32"/>
      <c r="H440" s="32"/>
      <c r="I440" s="56">
        <v>0</v>
      </c>
    </row>
    <row r="441" spans="1:9" ht="13.8" x14ac:dyDescent="0.3">
      <c r="A441" s="21" t="s">
        <v>233</v>
      </c>
      <c r="B441" s="33" t="s">
        <v>234</v>
      </c>
      <c r="C441" s="22"/>
      <c r="D441" s="22" t="s">
        <v>235</v>
      </c>
      <c r="E441" s="22">
        <v>0</v>
      </c>
      <c r="F441" s="22"/>
      <c r="G441" s="32"/>
      <c r="H441" s="32"/>
      <c r="I441" s="55">
        <v>0</v>
      </c>
    </row>
    <row r="442" spans="1:9" ht="13.8" x14ac:dyDescent="0.3">
      <c r="A442" s="28"/>
      <c r="B442" s="36"/>
      <c r="C442" s="29"/>
      <c r="D442" s="29"/>
      <c r="E442" s="29"/>
      <c r="F442" s="29"/>
      <c r="G442" s="35"/>
      <c r="H442" s="35" t="s">
        <v>228</v>
      </c>
      <c r="I442" s="53">
        <f>SUM(I439:I441)</f>
        <v>0</v>
      </c>
    </row>
    <row r="443" spans="1:9" ht="13.8" x14ac:dyDescent="0.3">
      <c r="A443" s="57"/>
      <c r="B443" s="22"/>
      <c r="C443" s="22"/>
      <c r="D443" s="22"/>
      <c r="E443" s="22"/>
      <c r="F443" s="22"/>
      <c r="G443" s="22"/>
      <c r="H443" s="37"/>
      <c r="I443" s="58"/>
    </row>
    <row r="444" spans="1:9" ht="13.8" x14ac:dyDescent="0.3">
      <c r="A444" s="50"/>
      <c r="B444" s="22"/>
      <c r="C444" s="22"/>
      <c r="D444" s="22"/>
      <c r="E444" s="22"/>
      <c r="F444" s="22"/>
      <c r="G444" s="22"/>
      <c r="H444" s="37"/>
      <c r="I444" s="59"/>
    </row>
    <row r="445" spans="1:9" ht="13.8" x14ac:dyDescent="0.3">
      <c r="A445" s="50" t="s">
        <v>236</v>
      </c>
      <c r="B445" s="22"/>
      <c r="C445" s="22" t="s">
        <v>237</v>
      </c>
      <c r="D445" s="22"/>
      <c r="E445" s="22"/>
      <c r="F445" s="22"/>
      <c r="G445" s="22"/>
      <c r="H445" s="60" t="s">
        <v>238</v>
      </c>
      <c r="I445" s="61">
        <f>F423/F417*286.25</f>
        <v>110.57735267857143</v>
      </c>
    </row>
    <row r="446" spans="1:9" ht="13.8" x14ac:dyDescent="0.3">
      <c r="A446" s="52" t="s">
        <v>239</v>
      </c>
      <c r="B446" s="29"/>
      <c r="C446" s="29"/>
      <c r="D446" s="29"/>
      <c r="E446" s="29"/>
      <c r="F446" s="29"/>
      <c r="G446" s="29"/>
      <c r="H446" s="30"/>
      <c r="I446" s="41"/>
    </row>
    <row r="447" spans="1:9" ht="14.4" thickBot="1" x14ac:dyDescent="0.35">
      <c r="A447" s="62"/>
      <c r="B447" s="63"/>
      <c r="C447" s="63"/>
      <c r="D447" s="63"/>
      <c r="E447" s="63"/>
      <c r="F447" s="63" t="s">
        <v>240</v>
      </c>
      <c r="G447" s="63"/>
      <c r="H447" s="64" t="s">
        <v>241</v>
      </c>
      <c r="I447" s="65">
        <f>SUM(I437,I442,I445,)</f>
        <v>111.46663839285715</v>
      </c>
    </row>
    <row r="448" spans="1:9" ht="13.8" x14ac:dyDescent="0.3">
      <c r="A448" s="22"/>
      <c r="B448" s="22"/>
      <c r="C448" s="22"/>
      <c r="D448" s="22"/>
      <c r="E448" s="22"/>
      <c r="F448" s="22"/>
      <c r="G448" s="22"/>
      <c r="H448" s="22"/>
      <c r="I448" s="66"/>
    </row>
    <row r="449" spans="1:9" ht="13.8" x14ac:dyDescent="0.3">
      <c r="A449" s="22"/>
      <c r="B449" s="22"/>
      <c r="C449" s="22"/>
      <c r="D449" s="22"/>
      <c r="E449" s="22"/>
      <c r="F449" s="22"/>
      <c r="G449" s="22"/>
      <c r="H449" s="22"/>
      <c r="I449" s="66"/>
    </row>
    <row r="450" spans="1:9" ht="14.4" thickBot="1" x14ac:dyDescent="0.35">
      <c r="A450" s="67"/>
      <c r="B450" s="67"/>
      <c r="C450" s="67"/>
      <c r="D450" s="67"/>
      <c r="E450" s="67"/>
      <c r="F450" s="67"/>
      <c r="G450" s="67"/>
      <c r="H450" s="67"/>
      <c r="I450" s="20"/>
    </row>
    <row r="451" spans="1:9" ht="13.8" x14ac:dyDescent="0.3">
      <c r="A451" s="227" t="s">
        <v>269</v>
      </c>
      <c r="B451" s="228"/>
      <c r="C451" s="228"/>
      <c r="D451" s="228"/>
      <c r="E451" s="228"/>
      <c r="F451" s="228"/>
      <c r="G451" s="228"/>
      <c r="H451" s="228"/>
      <c r="I451" s="229"/>
    </row>
    <row r="452" spans="1:9" ht="13.8" x14ac:dyDescent="0.3">
      <c r="A452" s="230"/>
      <c r="B452" s="231"/>
      <c r="C452" s="231"/>
      <c r="D452" s="231"/>
      <c r="E452" s="231"/>
      <c r="F452" s="231"/>
      <c r="G452" s="231"/>
      <c r="H452" s="231"/>
      <c r="I452" s="232"/>
    </row>
    <row r="453" spans="1:9" ht="13.8" x14ac:dyDescent="0.3">
      <c r="A453" s="21"/>
      <c r="B453" s="22"/>
      <c r="C453" s="22"/>
      <c r="D453" s="22"/>
      <c r="E453" s="22"/>
      <c r="F453" s="22"/>
      <c r="G453" s="22"/>
      <c r="H453" s="22"/>
      <c r="I453" s="23"/>
    </row>
    <row r="454" spans="1:9" ht="13.8" x14ac:dyDescent="0.3">
      <c r="A454" s="24" t="s">
        <v>159</v>
      </c>
      <c r="B454" s="25" t="s">
        <v>160</v>
      </c>
      <c r="C454" s="26">
        <v>17800</v>
      </c>
      <c r="D454" s="25" t="s">
        <v>161</v>
      </c>
      <c r="E454" s="25" t="s">
        <v>162</v>
      </c>
      <c r="F454" s="26">
        <v>1400</v>
      </c>
      <c r="G454" s="25" t="s">
        <v>163</v>
      </c>
      <c r="H454" s="26" t="s">
        <v>164</v>
      </c>
      <c r="I454" s="27">
        <v>0</v>
      </c>
    </row>
    <row r="455" spans="1:9" ht="13.8" x14ac:dyDescent="0.3">
      <c r="A455" s="28" t="s">
        <v>165</v>
      </c>
      <c r="B455" s="29"/>
      <c r="C455" s="30"/>
      <c r="D455" s="29" t="s">
        <v>166</v>
      </c>
      <c r="E455" s="29"/>
      <c r="F455" s="30"/>
      <c r="G455" s="29" t="s">
        <v>167</v>
      </c>
      <c r="H455" s="30"/>
      <c r="I455" s="31"/>
    </row>
    <row r="456" spans="1:9" ht="13.8" x14ac:dyDescent="0.3">
      <c r="A456" s="21" t="s">
        <v>168</v>
      </c>
      <c r="B456" s="32" t="s">
        <v>169</v>
      </c>
      <c r="C456" s="33">
        <v>0</v>
      </c>
      <c r="D456" s="34" t="s">
        <v>170</v>
      </c>
      <c r="E456" s="25" t="s">
        <v>171</v>
      </c>
      <c r="F456" s="26">
        <v>0</v>
      </c>
      <c r="G456" s="22" t="s">
        <v>172</v>
      </c>
      <c r="H456" s="26" t="s">
        <v>173</v>
      </c>
      <c r="I456" s="27">
        <v>3.0699999999999998E-3</v>
      </c>
    </row>
    <row r="457" spans="1:9" ht="13.8" x14ac:dyDescent="0.3">
      <c r="A457" s="28" t="s">
        <v>174</v>
      </c>
      <c r="B457" s="35"/>
      <c r="C457" s="36"/>
      <c r="D457" s="36"/>
      <c r="E457" s="29"/>
      <c r="F457" s="37"/>
      <c r="G457" s="29"/>
      <c r="H457" s="30"/>
      <c r="I457" s="31"/>
    </row>
    <row r="458" spans="1:9" ht="13.8" x14ac:dyDescent="0.3">
      <c r="A458" s="24" t="s">
        <v>175</v>
      </c>
      <c r="B458" s="38" t="s">
        <v>176</v>
      </c>
      <c r="C458" s="34">
        <v>0</v>
      </c>
      <c r="D458" s="34" t="s">
        <v>170</v>
      </c>
      <c r="E458" s="25" t="s">
        <v>177</v>
      </c>
      <c r="F458" s="39">
        <v>0</v>
      </c>
      <c r="G458" s="25" t="s">
        <v>178</v>
      </c>
      <c r="H458" s="26" t="s">
        <v>179</v>
      </c>
      <c r="I458" s="27">
        <v>0</v>
      </c>
    </row>
    <row r="459" spans="1:9" ht="13.8" x14ac:dyDescent="0.3">
      <c r="A459" s="28" t="s">
        <v>180</v>
      </c>
      <c r="B459" s="35"/>
      <c r="C459" s="36"/>
      <c r="D459" s="36" t="s">
        <v>181</v>
      </c>
      <c r="E459" s="29"/>
      <c r="F459" s="30"/>
      <c r="G459" s="29" t="s">
        <v>172</v>
      </c>
      <c r="H459" s="30"/>
      <c r="I459" s="31"/>
    </row>
    <row r="460" spans="1:9" ht="13.8" x14ac:dyDescent="0.3">
      <c r="A460" s="24" t="s">
        <v>182</v>
      </c>
      <c r="B460" s="38" t="s">
        <v>183</v>
      </c>
      <c r="C460" s="34">
        <v>17800</v>
      </c>
      <c r="D460" s="33" t="s">
        <v>184</v>
      </c>
      <c r="E460" s="22" t="s">
        <v>268</v>
      </c>
      <c r="F460" s="37">
        <v>540.81500000000005</v>
      </c>
      <c r="G460" s="25" t="s">
        <v>186</v>
      </c>
      <c r="H460" s="26" t="s">
        <v>187</v>
      </c>
      <c r="I460" s="119">
        <f>'Precios de Mat.'!$B$24</f>
        <v>0</v>
      </c>
    </row>
    <row r="461" spans="1:9" ht="13.8" x14ac:dyDescent="0.3">
      <c r="A461" s="28" t="s">
        <v>188</v>
      </c>
      <c r="B461" s="35"/>
      <c r="C461" s="36"/>
      <c r="D461" s="33" t="s">
        <v>189</v>
      </c>
      <c r="E461" s="22"/>
      <c r="F461" s="30"/>
      <c r="G461" s="29" t="s">
        <v>190</v>
      </c>
      <c r="H461" s="30"/>
      <c r="I461" s="31"/>
    </row>
    <row r="462" spans="1:9" ht="13.8" x14ac:dyDescent="0.3">
      <c r="A462" s="24" t="s">
        <v>175</v>
      </c>
      <c r="B462" s="38" t="s">
        <v>191</v>
      </c>
      <c r="C462" s="34">
        <v>3560</v>
      </c>
      <c r="D462" s="34" t="s">
        <v>192</v>
      </c>
      <c r="E462" s="25" t="s">
        <v>193</v>
      </c>
      <c r="F462" s="26">
        <v>0</v>
      </c>
      <c r="G462" s="25" t="s">
        <v>194</v>
      </c>
      <c r="H462" s="26" t="s">
        <v>195</v>
      </c>
      <c r="I462" s="27">
        <v>0.01</v>
      </c>
    </row>
    <row r="463" spans="1:9" ht="13.8" x14ac:dyDescent="0.3">
      <c r="A463" s="28" t="s">
        <v>196</v>
      </c>
      <c r="B463" s="35"/>
      <c r="C463" s="36"/>
      <c r="D463" s="36"/>
      <c r="E463" s="29"/>
      <c r="F463" s="30"/>
      <c r="G463" s="29" t="s">
        <v>197</v>
      </c>
      <c r="H463" s="30"/>
      <c r="I463" s="31"/>
    </row>
    <row r="464" spans="1:9" ht="13.8" x14ac:dyDescent="0.3">
      <c r="A464" s="21" t="s">
        <v>198</v>
      </c>
      <c r="B464" s="32" t="s">
        <v>199</v>
      </c>
      <c r="C464" s="33">
        <v>14000</v>
      </c>
      <c r="D464" s="34" t="s">
        <v>159</v>
      </c>
      <c r="E464" s="25" t="s">
        <v>200</v>
      </c>
      <c r="F464" s="26">
        <v>0</v>
      </c>
      <c r="G464" s="25" t="s">
        <v>201</v>
      </c>
      <c r="H464" s="26" t="s">
        <v>202</v>
      </c>
      <c r="I464" s="27">
        <v>0.8</v>
      </c>
    </row>
    <row r="465" spans="1:9" ht="13.8" x14ac:dyDescent="0.3">
      <c r="A465" s="28" t="s">
        <v>203</v>
      </c>
      <c r="B465" s="35"/>
      <c r="C465" s="36"/>
      <c r="D465" s="36" t="s">
        <v>192</v>
      </c>
      <c r="E465" s="29"/>
      <c r="F465" s="30"/>
      <c r="G465" s="29" t="s">
        <v>204</v>
      </c>
      <c r="H465" s="30"/>
      <c r="I465" s="31"/>
    </row>
    <row r="466" spans="1:9" ht="13.8" x14ac:dyDescent="0.3">
      <c r="A466" s="24" t="s">
        <v>198</v>
      </c>
      <c r="B466" s="38" t="s">
        <v>205</v>
      </c>
      <c r="C466" s="34">
        <v>0</v>
      </c>
      <c r="D466" s="33" t="s">
        <v>206</v>
      </c>
      <c r="E466" s="22" t="s">
        <v>207</v>
      </c>
      <c r="F466" s="37">
        <v>0</v>
      </c>
      <c r="G466" s="25" t="s">
        <v>201</v>
      </c>
      <c r="H466" s="37" t="s">
        <v>208</v>
      </c>
      <c r="I466" s="40">
        <v>0.9</v>
      </c>
    </row>
    <row r="467" spans="1:9" ht="13.8" x14ac:dyDescent="0.3">
      <c r="A467" s="28" t="s">
        <v>209</v>
      </c>
      <c r="B467" s="35"/>
      <c r="C467" s="36"/>
      <c r="D467" s="36" t="s">
        <v>210</v>
      </c>
      <c r="E467" s="29"/>
      <c r="F467" s="30"/>
      <c r="G467" s="29" t="s">
        <v>211</v>
      </c>
      <c r="H467" s="30"/>
      <c r="I467" s="41"/>
    </row>
    <row r="468" spans="1:9" ht="13.8" x14ac:dyDescent="0.3">
      <c r="A468" s="42" t="s">
        <v>212</v>
      </c>
      <c r="B468" s="22"/>
      <c r="C468" s="22"/>
      <c r="D468" s="22"/>
      <c r="E468" s="22"/>
      <c r="F468" s="22"/>
      <c r="G468" s="22"/>
      <c r="H468" s="22"/>
      <c r="I468" s="23"/>
    </row>
    <row r="469" spans="1:9" ht="13.8" x14ac:dyDescent="0.3">
      <c r="A469" s="43"/>
      <c r="B469" s="25"/>
      <c r="C469" s="25"/>
      <c r="D469" s="25"/>
      <c r="E469" s="25"/>
      <c r="F469" s="25"/>
      <c r="G469" s="25"/>
      <c r="H469" s="26"/>
      <c r="I469" s="44"/>
    </row>
    <row r="470" spans="1:9" ht="13.8" x14ac:dyDescent="0.3">
      <c r="A470" s="45"/>
      <c r="B470" s="22" t="s">
        <v>213</v>
      </c>
      <c r="C470" s="22"/>
      <c r="D470" s="22" t="s">
        <v>214</v>
      </c>
      <c r="E470" s="22" t="s">
        <v>215</v>
      </c>
      <c r="F470" s="22">
        <v>4200</v>
      </c>
      <c r="G470" s="46" t="s">
        <v>216</v>
      </c>
      <c r="H470" s="37"/>
      <c r="I470" s="47">
        <f>(C460-C462)/C464</f>
        <v>1.0171428571428571</v>
      </c>
    </row>
    <row r="471" spans="1:9" ht="13.8" x14ac:dyDescent="0.3">
      <c r="A471" s="45" t="s">
        <v>217</v>
      </c>
      <c r="B471" s="22" t="s">
        <v>218</v>
      </c>
      <c r="C471" s="22"/>
      <c r="D471" s="22" t="s">
        <v>219</v>
      </c>
      <c r="E471" s="48" t="s">
        <v>220</v>
      </c>
      <c r="F471" s="22"/>
      <c r="G471" s="22" t="s">
        <v>221</v>
      </c>
      <c r="H471" s="37"/>
      <c r="I471" s="47">
        <f>(((C460+C462)/(2*F454))*I460)</f>
        <v>0</v>
      </c>
    </row>
    <row r="472" spans="1:9" ht="13.8" x14ac:dyDescent="0.3">
      <c r="A472" s="45" t="s">
        <v>222</v>
      </c>
      <c r="B472" s="22" t="s">
        <v>223</v>
      </c>
      <c r="C472" s="22"/>
      <c r="D472" s="22" t="s">
        <v>224</v>
      </c>
      <c r="E472" s="22" t="s">
        <v>225</v>
      </c>
      <c r="F472" s="49" t="s">
        <v>226</v>
      </c>
      <c r="G472" s="46" t="s">
        <v>216</v>
      </c>
      <c r="H472" s="37"/>
      <c r="I472" s="47">
        <f>(C460+C462)/2*(I462/F454)</f>
        <v>7.628571428571429E-2</v>
      </c>
    </row>
    <row r="473" spans="1:9" ht="13.8" x14ac:dyDescent="0.3">
      <c r="A473" s="50"/>
      <c r="B473" s="22" t="s">
        <v>227</v>
      </c>
      <c r="C473" s="22"/>
      <c r="D473" s="22"/>
      <c r="E473" s="22">
        <v>0.8</v>
      </c>
      <c r="F473" s="51">
        <v>68.430000000000007</v>
      </c>
      <c r="G473" s="46" t="s">
        <v>216</v>
      </c>
      <c r="H473" s="37"/>
      <c r="I473" s="47">
        <f>(I464*I470)</f>
        <v>0.81371428571428572</v>
      </c>
    </row>
    <row r="474" spans="1:9" ht="13.8" x14ac:dyDescent="0.3">
      <c r="A474" s="52"/>
      <c r="B474" s="22"/>
      <c r="C474" s="22"/>
      <c r="D474" s="22"/>
      <c r="E474" s="22"/>
      <c r="F474" s="22"/>
      <c r="G474" s="22"/>
      <c r="H474" s="37" t="s">
        <v>228</v>
      </c>
      <c r="I474" s="53">
        <f>SUM(I470,I471,I472,I473,)</f>
        <v>1.907142857142857</v>
      </c>
    </row>
    <row r="475" spans="1:9" ht="13.8" x14ac:dyDescent="0.3">
      <c r="A475" s="24"/>
      <c r="B475" s="34"/>
      <c r="C475" s="25"/>
      <c r="D475" s="25"/>
      <c r="E475" s="25"/>
      <c r="F475" s="25"/>
      <c r="G475" s="38"/>
      <c r="H475" s="38"/>
      <c r="I475" s="44"/>
    </row>
    <row r="476" spans="1:9" ht="13.8" x14ac:dyDescent="0.3">
      <c r="A476" s="21"/>
      <c r="B476" s="33" t="s">
        <v>229</v>
      </c>
      <c r="C476" s="22"/>
      <c r="D476" s="22">
        <v>0.2271</v>
      </c>
      <c r="E476" s="22">
        <v>6</v>
      </c>
      <c r="F476" s="22">
        <v>5.89</v>
      </c>
      <c r="G476" s="32"/>
      <c r="H476" s="54"/>
      <c r="I476" s="55">
        <f>F462*F458*F464</f>
        <v>0</v>
      </c>
    </row>
    <row r="477" spans="1:9" ht="13.8" x14ac:dyDescent="0.3">
      <c r="A477" s="21" t="s">
        <v>230</v>
      </c>
      <c r="B477" s="33" t="s">
        <v>231</v>
      </c>
      <c r="C477" s="22"/>
      <c r="D477" s="22" t="s">
        <v>232</v>
      </c>
      <c r="E477" s="22"/>
      <c r="F477" s="22"/>
      <c r="G477" s="32"/>
      <c r="H477" s="32"/>
      <c r="I477" s="56">
        <v>0</v>
      </c>
    </row>
    <row r="478" spans="1:9" ht="13.8" x14ac:dyDescent="0.3">
      <c r="A478" s="21" t="s">
        <v>233</v>
      </c>
      <c r="B478" s="33" t="s">
        <v>234</v>
      </c>
      <c r="C478" s="22"/>
      <c r="D478" s="22" t="s">
        <v>235</v>
      </c>
      <c r="E478" s="22">
        <v>0</v>
      </c>
      <c r="F478" s="22"/>
      <c r="G478" s="32"/>
      <c r="H478" s="32"/>
      <c r="I478" s="55">
        <v>0</v>
      </c>
    </row>
    <row r="479" spans="1:9" ht="13.8" x14ac:dyDescent="0.3">
      <c r="A479" s="28"/>
      <c r="B479" s="36"/>
      <c r="C479" s="29"/>
      <c r="D479" s="29"/>
      <c r="E479" s="29"/>
      <c r="F479" s="29"/>
      <c r="G479" s="35"/>
      <c r="H479" s="35" t="s">
        <v>228</v>
      </c>
      <c r="I479" s="53">
        <f>SUM(I476:I478)</f>
        <v>0</v>
      </c>
    </row>
    <row r="480" spans="1:9" ht="13.8" x14ac:dyDescent="0.3">
      <c r="A480" s="57"/>
      <c r="B480" s="22"/>
      <c r="C480" s="22"/>
      <c r="D480" s="22"/>
      <c r="E480" s="22"/>
      <c r="F480" s="22"/>
      <c r="G480" s="22"/>
      <c r="H480" s="37"/>
      <c r="I480" s="58"/>
    </row>
    <row r="481" spans="1:9" ht="13.8" x14ac:dyDescent="0.3">
      <c r="A481" s="50"/>
      <c r="B481" s="22"/>
      <c r="C481" s="22"/>
      <c r="D481" s="22"/>
      <c r="E481" s="22"/>
      <c r="F481" s="22"/>
      <c r="G481" s="22"/>
      <c r="H481" s="37"/>
      <c r="I481" s="59"/>
    </row>
    <row r="482" spans="1:9" ht="13.8" x14ac:dyDescent="0.3">
      <c r="A482" s="50" t="s">
        <v>236</v>
      </c>
      <c r="B482" s="22"/>
      <c r="C482" s="22" t="s">
        <v>237</v>
      </c>
      <c r="D482" s="22"/>
      <c r="E482" s="22"/>
      <c r="F482" s="22"/>
      <c r="G482" s="22"/>
      <c r="H482" s="60" t="s">
        <v>238</v>
      </c>
      <c r="I482" s="61">
        <f>F460/F454*286.25</f>
        <v>110.57735267857143</v>
      </c>
    </row>
    <row r="483" spans="1:9" ht="13.8" x14ac:dyDescent="0.3">
      <c r="A483" s="52" t="s">
        <v>239</v>
      </c>
      <c r="B483" s="29"/>
      <c r="C483" s="29"/>
      <c r="D483" s="29"/>
      <c r="E483" s="29"/>
      <c r="F483" s="29"/>
      <c r="G483" s="29"/>
      <c r="H483" s="30"/>
      <c r="I483" s="41"/>
    </row>
    <row r="484" spans="1:9" ht="14.4" thickBot="1" x14ac:dyDescent="0.35">
      <c r="A484" s="62"/>
      <c r="B484" s="63"/>
      <c r="C484" s="63"/>
      <c r="D484" s="63"/>
      <c r="E484" s="63"/>
      <c r="F484" s="63" t="s">
        <v>240</v>
      </c>
      <c r="G484" s="63"/>
      <c r="H484" s="64" t="s">
        <v>241</v>
      </c>
      <c r="I484" s="65">
        <f>SUM(I474,I479,I482,)</f>
        <v>112.48449553571429</v>
      </c>
    </row>
    <row r="485" spans="1:9" ht="13.8" x14ac:dyDescent="0.3">
      <c r="A485" s="67"/>
      <c r="B485" s="67"/>
      <c r="C485" s="67"/>
      <c r="D485" s="67"/>
      <c r="E485" s="67"/>
      <c r="F485" s="67"/>
      <c r="G485" s="67"/>
      <c r="H485" s="67"/>
      <c r="I485" s="20"/>
    </row>
    <row r="486" spans="1:9" ht="13.8" x14ac:dyDescent="0.3">
      <c r="A486" s="67"/>
      <c r="B486" s="67"/>
      <c r="C486" s="67"/>
      <c r="D486" s="67"/>
      <c r="E486" s="67"/>
      <c r="F486" s="67"/>
      <c r="G486" s="67"/>
      <c r="H486" s="67"/>
      <c r="I486" s="20"/>
    </row>
    <row r="487" spans="1:9" ht="14.4" thickBot="1" x14ac:dyDescent="0.35">
      <c r="A487" s="67"/>
      <c r="B487" s="67"/>
      <c r="C487" s="67"/>
      <c r="D487" s="67"/>
      <c r="E487" s="67"/>
      <c r="F487" s="67"/>
      <c r="G487" s="67"/>
      <c r="H487" s="67"/>
      <c r="I487" s="20"/>
    </row>
    <row r="488" spans="1:9" ht="13.8" x14ac:dyDescent="0.3">
      <c r="A488" s="227" t="s">
        <v>270</v>
      </c>
      <c r="B488" s="228"/>
      <c r="C488" s="228"/>
      <c r="D488" s="228"/>
      <c r="E488" s="228"/>
      <c r="F488" s="228"/>
      <c r="G488" s="228"/>
      <c r="H488" s="228"/>
      <c r="I488" s="229"/>
    </row>
    <row r="489" spans="1:9" ht="13.8" x14ac:dyDescent="0.3">
      <c r="A489" s="230" t="s">
        <v>271</v>
      </c>
      <c r="B489" s="231"/>
      <c r="C489" s="231"/>
      <c r="D489" s="231"/>
      <c r="E489" s="231"/>
      <c r="F489" s="231"/>
      <c r="G489" s="231"/>
      <c r="H489" s="231"/>
      <c r="I489" s="232"/>
    </row>
    <row r="490" spans="1:9" ht="13.8" x14ac:dyDescent="0.3">
      <c r="A490" s="21"/>
      <c r="B490" s="22"/>
      <c r="C490" s="22"/>
      <c r="D490" s="22"/>
      <c r="E490" s="22"/>
      <c r="F490" s="22"/>
      <c r="G490" s="22"/>
      <c r="H490" s="22"/>
      <c r="I490" s="23"/>
    </row>
    <row r="491" spans="1:9" ht="13.8" x14ac:dyDescent="0.3">
      <c r="A491" s="24" t="s">
        <v>159</v>
      </c>
      <c r="B491" s="25" t="s">
        <v>160</v>
      </c>
      <c r="C491" s="26">
        <v>2580</v>
      </c>
      <c r="D491" s="25" t="s">
        <v>161</v>
      </c>
      <c r="E491" s="25" t="s">
        <v>162</v>
      </c>
      <c r="F491" s="26">
        <v>2000</v>
      </c>
      <c r="G491" s="25" t="s">
        <v>163</v>
      </c>
      <c r="H491" s="26" t="s">
        <v>164</v>
      </c>
      <c r="I491" s="27">
        <v>0</v>
      </c>
    </row>
    <row r="492" spans="1:9" ht="13.8" x14ac:dyDescent="0.3">
      <c r="A492" s="28" t="s">
        <v>165</v>
      </c>
      <c r="B492" s="29"/>
      <c r="C492" s="30"/>
      <c r="D492" s="29" t="s">
        <v>166</v>
      </c>
      <c r="E492" s="29"/>
      <c r="F492" s="30"/>
      <c r="G492" s="29" t="s">
        <v>167</v>
      </c>
      <c r="H492" s="30"/>
      <c r="I492" s="31"/>
    </row>
    <row r="493" spans="1:9" ht="13.8" x14ac:dyDescent="0.3">
      <c r="A493" s="21" t="s">
        <v>168</v>
      </c>
      <c r="B493" s="32" t="s">
        <v>169</v>
      </c>
      <c r="C493" s="33">
        <v>0</v>
      </c>
      <c r="D493" s="34" t="s">
        <v>170</v>
      </c>
      <c r="E493" s="25" t="s">
        <v>171</v>
      </c>
      <c r="F493" s="26">
        <v>0</v>
      </c>
      <c r="G493" s="22" t="s">
        <v>172</v>
      </c>
      <c r="H493" s="26" t="s">
        <v>173</v>
      </c>
      <c r="I493" s="27">
        <v>3.0699999999999998E-3</v>
      </c>
    </row>
    <row r="494" spans="1:9" ht="13.8" x14ac:dyDescent="0.3">
      <c r="A494" s="28" t="s">
        <v>174</v>
      </c>
      <c r="B494" s="35"/>
      <c r="C494" s="36"/>
      <c r="D494" s="36"/>
      <c r="E494" s="29"/>
      <c r="F494" s="37"/>
      <c r="G494" s="29"/>
      <c r="H494" s="30"/>
      <c r="I494" s="31"/>
    </row>
    <row r="495" spans="1:9" ht="13.8" x14ac:dyDescent="0.3">
      <c r="A495" s="24" t="s">
        <v>175</v>
      </c>
      <c r="B495" s="38" t="s">
        <v>176</v>
      </c>
      <c r="C495" s="34">
        <v>520</v>
      </c>
      <c r="D495" s="34" t="s">
        <v>170</v>
      </c>
      <c r="E495" s="25" t="s">
        <v>177</v>
      </c>
      <c r="F495" s="39">
        <v>0</v>
      </c>
      <c r="G495" s="25" t="s">
        <v>178</v>
      </c>
      <c r="H495" s="26" t="s">
        <v>179</v>
      </c>
      <c r="I495" s="27">
        <v>0</v>
      </c>
    </row>
    <row r="496" spans="1:9" ht="13.8" x14ac:dyDescent="0.3">
      <c r="A496" s="28" t="s">
        <v>180</v>
      </c>
      <c r="B496" s="35"/>
      <c r="C496" s="36"/>
      <c r="D496" s="36" t="s">
        <v>181</v>
      </c>
      <c r="E496" s="29"/>
      <c r="F496" s="30"/>
      <c r="G496" s="29" t="s">
        <v>172</v>
      </c>
      <c r="H496" s="30"/>
      <c r="I496" s="31"/>
    </row>
    <row r="497" spans="1:9" ht="13.8" x14ac:dyDescent="0.3">
      <c r="A497" s="24" t="s">
        <v>182</v>
      </c>
      <c r="B497" s="38" t="s">
        <v>183</v>
      </c>
      <c r="C497" s="34">
        <v>2060</v>
      </c>
      <c r="D497" s="33" t="s">
        <v>184</v>
      </c>
      <c r="E497" s="22" t="s">
        <v>272</v>
      </c>
      <c r="F497" s="37">
        <v>91.805000000000007</v>
      </c>
      <c r="G497" s="25" t="s">
        <v>186</v>
      </c>
      <c r="H497" s="26" t="s">
        <v>187</v>
      </c>
      <c r="I497" s="27">
        <v>0.3972</v>
      </c>
    </row>
    <row r="498" spans="1:9" ht="13.8" x14ac:dyDescent="0.3">
      <c r="A498" s="28" t="s">
        <v>188</v>
      </c>
      <c r="B498" s="35"/>
      <c r="C498" s="36"/>
      <c r="D498" s="33" t="s">
        <v>189</v>
      </c>
      <c r="E498" s="22"/>
      <c r="F498" s="30"/>
      <c r="G498" s="29" t="s">
        <v>190</v>
      </c>
      <c r="H498" s="30"/>
      <c r="I498" s="31"/>
    </row>
    <row r="499" spans="1:9" ht="13.8" x14ac:dyDescent="0.3">
      <c r="A499" s="24" t="s">
        <v>175</v>
      </c>
      <c r="B499" s="38" t="s">
        <v>191</v>
      </c>
      <c r="C499" s="34">
        <v>0</v>
      </c>
      <c r="D499" s="34" t="s">
        <v>192</v>
      </c>
      <c r="E499" s="25" t="s">
        <v>193</v>
      </c>
      <c r="F499" s="26">
        <v>0</v>
      </c>
      <c r="G499" s="25" t="s">
        <v>194</v>
      </c>
      <c r="H499" s="26" t="s">
        <v>195</v>
      </c>
      <c r="I499" s="27">
        <v>0.01</v>
      </c>
    </row>
    <row r="500" spans="1:9" ht="13.8" x14ac:dyDescent="0.3">
      <c r="A500" s="28" t="s">
        <v>196</v>
      </c>
      <c r="B500" s="35"/>
      <c r="C500" s="36"/>
      <c r="D500" s="36"/>
      <c r="E500" s="29"/>
      <c r="F500" s="30"/>
      <c r="G500" s="29" t="s">
        <v>197</v>
      </c>
      <c r="H500" s="30"/>
      <c r="I500" s="31"/>
    </row>
    <row r="501" spans="1:9" ht="13.8" x14ac:dyDescent="0.3">
      <c r="A501" s="21" t="s">
        <v>198</v>
      </c>
      <c r="B501" s="32" t="s">
        <v>199</v>
      </c>
      <c r="C501" s="33">
        <v>2000</v>
      </c>
      <c r="D501" s="34" t="s">
        <v>159</v>
      </c>
      <c r="E501" s="25" t="s">
        <v>200</v>
      </c>
      <c r="F501" s="26">
        <v>0</v>
      </c>
      <c r="G501" s="25" t="s">
        <v>201</v>
      </c>
      <c r="H501" s="26" t="s">
        <v>202</v>
      </c>
      <c r="I501" s="27">
        <v>1</v>
      </c>
    </row>
    <row r="502" spans="1:9" ht="13.8" x14ac:dyDescent="0.3">
      <c r="A502" s="28" t="s">
        <v>203</v>
      </c>
      <c r="B502" s="35"/>
      <c r="C502" s="36"/>
      <c r="D502" s="36" t="s">
        <v>192</v>
      </c>
      <c r="E502" s="29"/>
      <c r="F502" s="30"/>
      <c r="G502" s="29" t="s">
        <v>204</v>
      </c>
      <c r="H502" s="30"/>
      <c r="I502" s="31"/>
    </row>
    <row r="503" spans="1:9" ht="13.8" x14ac:dyDescent="0.3">
      <c r="A503" s="24" t="s">
        <v>198</v>
      </c>
      <c r="B503" s="38" t="s">
        <v>205</v>
      </c>
      <c r="C503" s="34">
        <v>1000</v>
      </c>
      <c r="D503" s="33" t="s">
        <v>206</v>
      </c>
      <c r="E503" s="22" t="s">
        <v>207</v>
      </c>
      <c r="F503" s="37">
        <v>0</v>
      </c>
      <c r="G503" s="25" t="s">
        <v>201</v>
      </c>
      <c r="H503" s="37" t="s">
        <v>208</v>
      </c>
      <c r="I503" s="40">
        <v>0.75</v>
      </c>
    </row>
    <row r="504" spans="1:9" ht="13.8" x14ac:dyDescent="0.3">
      <c r="A504" s="28" t="s">
        <v>209</v>
      </c>
      <c r="B504" s="35"/>
      <c r="C504" s="36"/>
      <c r="D504" s="36" t="s">
        <v>210</v>
      </c>
      <c r="E504" s="29"/>
      <c r="F504" s="30"/>
      <c r="G504" s="29" t="s">
        <v>211</v>
      </c>
      <c r="H504" s="30"/>
      <c r="I504" s="41"/>
    </row>
    <row r="505" spans="1:9" ht="13.8" x14ac:dyDescent="0.3">
      <c r="A505" s="42" t="s">
        <v>212</v>
      </c>
      <c r="B505" s="22"/>
      <c r="C505" s="22"/>
      <c r="D505" s="22"/>
      <c r="E505" s="22"/>
      <c r="F505" s="22"/>
      <c r="G505" s="22"/>
      <c r="H505" s="22"/>
      <c r="I505" s="23"/>
    </row>
    <row r="506" spans="1:9" ht="13.8" x14ac:dyDescent="0.3">
      <c r="A506" s="43"/>
      <c r="B506" s="25"/>
      <c r="C506" s="25"/>
      <c r="D506" s="25"/>
      <c r="E506" s="25"/>
      <c r="F506" s="25"/>
      <c r="G506" s="25"/>
      <c r="H506" s="26"/>
      <c r="I506" s="44"/>
    </row>
    <row r="507" spans="1:9" ht="13.8" x14ac:dyDescent="0.3">
      <c r="A507" s="45"/>
      <c r="B507" s="22" t="s">
        <v>213</v>
      </c>
      <c r="C507" s="22"/>
      <c r="D507" s="22" t="s">
        <v>214</v>
      </c>
      <c r="E507" s="22" t="s">
        <v>215</v>
      </c>
      <c r="F507" s="22">
        <v>4200</v>
      </c>
      <c r="G507" s="46" t="s">
        <v>216</v>
      </c>
      <c r="H507" s="37"/>
      <c r="I507" s="47">
        <f>(C497-C499)/C501</f>
        <v>1.03</v>
      </c>
    </row>
    <row r="508" spans="1:9" ht="13.8" x14ac:dyDescent="0.3">
      <c r="A508" s="45" t="s">
        <v>217</v>
      </c>
      <c r="B508" s="22" t="s">
        <v>218</v>
      </c>
      <c r="C508" s="22"/>
      <c r="D508" s="22" t="s">
        <v>219</v>
      </c>
      <c r="E508" s="48" t="s">
        <v>220</v>
      </c>
      <c r="F508" s="22"/>
      <c r="G508" s="22" t="s">
        <v>221</v>
      </c>
      <c r="H508" s="37"/>
      <c r="I508" s="47">
        <f>(((C497+C499)/(2*F491))*I497)</f>
        <v>0.20455800000000002</v>
      </c>
    </row>
    <row r="509" spans="1:9" ht="13.8" x14ac:dyDescent="0.3">
      <c r="A509" s="45" t="s">
        <v>222</v>
      </c>
      <c r="B509" s="22" t="s">
        <v>223</v>
      </c>
      <c r="C509" s="22"/>
      <c r="D509" s="22" t="s">
        <v>224</v>
      </c>
      <c r="E509" s="22" t="s">
        <v>225</v>
      </c>
      <c r="F509" s="49" t="s">
        <v>226</v>
      </c>
      <c r="G509" s="46" t="s">
        <v>216</v>
      </c>
      <c r="H509" s="37"/>
      <c r="I509" s="47">
        <f>(C497+C499)/2*(I499/F491)</f>
        <v>5.1500000000000001E-3</v>
      </c>
    </row>
    <row r="510" spans="1:9" ht="13.8" x14ac:dyDescent="0.3">
      <c r="A510" s="50"/>
      <c r="B510" s="22" t="s">
        <v>227</v>
      </c>
      <c r="C510" s="22"/>
      <c r="D510" s="22"/>
      <c r="E510" s="22">
        <v>0.8</v>
      </c>
      <c r="F510" s="51">
        <v>68.430000000000007</v>
      </c>
      <c r="G510" s="46" t="s">
        <v>216</v>
      </c>
      <c r="H510" s="37"/>
      <c r="I510" s="47">
        <f>(I501*I507)</f>
        <v>1.03</v>
      </c>
    </row>
    <row r="511" spans="1:9" ht="13.8" x14ac:dyDescent="0.3">
      <c r="A511" s="52"/>
      <c r="B511" s="22"/>
      <c r="C511" s="22"/>
      <c r="D511" s="22"/>
      <c r="E511" s="22"/>
      <c r="F511" s="22"/>
      <c r="G511" s="22"/>
      <c r="H511" s="37" t="s">
        <v>228</v>
      </c>
      <c r="I511" s="53">
        <f>SUM(I507,I508,I509,I510,)</f>
        <v>2.2697080000000001</v>
      </c>
    </row>
    <row r="512" spans="1:9" ht="13.8" x14ac:dyDescent="0.3">
      <c r="A512" s="24"/>
      <c r="B512" s="34"/>
      <c r="C512" s="25"/>
      <c r="D512" s="25"/>
      <c r="E512" s="25"/>
      <c r="F512" s="25"/>
      <c r="G512" s="38"/>
      <c r="H512" s="38"/>
      <c r="I512" s="44"/>
    </row>
    <row r="513" spans="1:9" ht="13.8" x14ac:dyDescent="0.3">
      <c r="A513" s="21"/>
      <c r="B513" s="33" t="s">
        <v>229</v>
      </c>
      <c r="C513" s="22"/>
      <c r="D513" s="22">
        <v>0.2271</v>
      </c>
      <c r="E513" s="22">
        <v>6</v>
      </c>
      <c r="F513" s="22">
        <v>0</v>
      </c>
      <c r="G513" s="32"/>
      <c r="H513" s="54"/>
      <c r="I513" s="55">
        <f>F499*F495*F501</f>
        <v>0</v>
      </c>
    </row>
    <row r="514" spans="1:9" ht="13.8" x14ac:dyDescent="0.3">
      <c r="A514" s="21" t="s">
        <v>230</v>
      </c>
      <c r="B514" s="33" t="s">
        <v>231</v>
      </c>
      <c r="C514" s="22"/>
      <c r="D514" s="22" t="s">
        <v>232</v>
      </c>
      <c r="E514" s="22"/>
      <c r="F514" s="22"/>
      <c r="G514" s="32"/>
      <c r="H514" s="32"/>
      <c r="I514" s="56">
        <v>0</v>
      </c>
    </row>
    <row r="515" spans="1:9" ht="13.8" x14ac:dyDescent="0.3">
      <c r="A515" s="21" t="s">
        <v>233</v>
      </c>
      <c r="B515" s="33" t="s">
        <v>234</v>
      </c>
      <c r="C515" s="22"/>
      <c r="D515" s="22" t="s">
        <v>235</v>
      </c>
      <c r="E515" s="22">
        <v>0</v>
      </c>
      <c r="F515" s="22"/>
      <c r="G515" s="32"/>
      <c r="H515" s="32"/>
      <c r="I515" s="55">
        <f>C495/C503</f>
        <v>0.52</v>
      </c>
    </row>
    <row r="516" spans="1:9" ht="13.8" x14ac:dyDescent="0.3">
      <c r="A516" s="28"/>
      <c r="B516" s="36"/>
      <c r="C516" s="29"/>
      <c r="D516" s="29"/>
      <c r="E516" s="29"/>
      <c r="F516" s="29"/>
      <c r="G516" s="35"/>
      <c r="H516" s="35" t="s">
        <v>228</v>
      </c>
      <c r="I516" s="53">
        <f>SUM(I513:I515)</f>
        <v>0.52</v>
      </c>
    </row>
    <row r="517" spans="1:9" ht="13.8" x14ac:dyDescent="0.3">
      <c r="A517" s="57"/>
      <c r="B517" s="22"/>
      <c r="C517" s="22"/>
      <c r="D517" s="22"/>
      <c r="E517" s="22"/>
      <c r="F517" s="22"/>
      <c r="G517" s="22"/>
      <c r="H517" s="37"/>
      <c r="I517" s="58"/>
    </row>
    <row r="518" spans="1:9" ht="13.8" x14ac:dyDescent="0.3">
      <c r="A518" s="50"/>
      <c r="B518" s="22"/>
      <c r="C518" s="22"/>
      <c r="D518" s="22"/>
      <c r="E518" s="22"/>
      <c r="F518" s="22"/>
      <c r="G518" s="22"/>
      <c r="H518" s="37"/>
      <c r="I518" s="59"/>
    </row>
    <row r="519" spans="1:9" ht="13.8" x14ac:dyDescent="0.3">
      <c r="A519" s="50" t="s">
        <v>236</v>
      </c>
      <c r="B519" s="22"/>
      <c r="C519" s="22" t="s">
        <v>237</v>
      </c>
      <c r="D519" s="22"/>
      <c r="E519" s="22"/>
      <c r="F519" s="22"/>
      <c r="G519" s="22"/>
      <c r="H519" s="60" t="s">
        <v>238</v>
      </c>
      <c r="I519" s="61">
        <f>F497/F491*286.25</f>
        <v>13.139590625000002</v>
      </c>
    </row>
    <row r="520" spans="1:9" ht="13.8" x14ac:dyDescent="0.3">
      <c r="A520" s="52" t="s">
        <v>239</v>
      </c>
      <c r="B520" s="29"/>
      <c r="C520" s="29"/>
      <c r="D520" s="29"/>
      <c r="E520" s="29"/>
      <c r="F520" s="29"/>
      <c r="G520" s="29"/>
      <c r="H520" s="30"/>
      <c r="I520" s="41"/>
    </row>
    <row r="521" spans="1:9" ht="14.4" thickBot="1" x14ac:dyDescent="0.35">
      <c r="A521" s="62"/>
      <c r="B521" s="63"/>
      <c r="C521" s="63"/>
      <c r="D521" s="63"/>
      <c r="E521" s="63"/>
      <c r="F521" s="63" t="s">
        <v>240</v>
      </c>
      <c r="G521" s="63"/>
      <c r="H521" s="64" t="s">
        <v>241</v>
      </c>
      <c r="I521" s="65">
        <v>13.14</v>
      </c>
    </row>
    <row r="522" spans="1:9" x14ac:dyDescent="0.25">
      <c r="A522" s="68"/>
      <c r="B522" s="68"/>
      <c r="C522" s="68"/>
      <c r="D522" s="68"/>
      <c r="E522" s="68"/>
      <c r="F522" s="68"/>
      <c r="G522" s="68"/>
      <c r="H522" s="68"/>
      <c r="I522" s="19"/>
    </row>
  </sheetData>
  <mergeCells count="32">
    <mergeCell ref="A303:I303"/>
    <mergeCell ref="A82:I82"/>
    <mergeCell ref="A7:I7"/>
    <mergeCell ref="A8:I8"/>
    <mergeCell ref="A44:I44"/>
    <mergeCell ref="A45:I45"/>
    <mergeCell ref="A81:I81"/>
    <mergeCell ref="A452:I452"/>
    <mergeCell ref="A488:I488"/>
    <mergeCell ref="A489:I489"/>
    <mergeCell ref="A340:I340"/>
    <mergeCell ref="A341:I341"/>
    <mergeCell ref="A377:I377"/>
    <mergeCell ref="A378:I378"/>
    <mergeCell ref="A414:I414"/>
    <mergeCell ref="A415:I415"/>
    <mergeCell ref="A1:I1"/>
    <mergeCell ref="A2:I2"/>
    <mergeCell ref="A3:I3"/>
    <mergeCell ref="A4:I4"/>
    <mergeCell ref="A451:I451"/>
    <mergeCell ref="A304:I304"/>
    <mergeCell ref="A118:I118"/>
    <mergeCell ref="A119:I119"/>
    <mergeCell ref="A155:I155"/>
    <mergeCell ref="A156:I156"/>
    <mergeCell ref="A192:I192"/>
    <mergeCell ref="A193:I193"/>
    <mergeCell ref="A229:I229"/>
    <mergeCell ref="A230:I230"/>
    <mergeCell ref="A266:I266"/>
    <mergeCell ref="A267:I267"/>
  </mergeCells>
  <phoneticPr fontId="0" type="noConversion"/>
  <pageMargins left="0.75" right="0.75" top="1" bottom="1" header="0" footer="0"/>
  <pageSetup scale="97" orientation="portrait" horizontalDpi="4294967293" verticalDpi="0" r:id="rId1"/>
  <headerFooter alignWithMargins="0"/>
  <rowBreaks count="13" manualBreakCount="13">
    <brk id="41" max="16383" man="1"/>
    <brk id="78" max="16383" man="1"/>
    <brk id="115" max="16383" man="1"/>
    <brk id="152" max="16383" man="1"/>
    <brk id="189" max="16383" man="1"/>
    <brk id="226" max="16383" man="1"/>
    <brk id="263" max="16383" man="1"/>
    <brk id="300" max="16383" man="1"/>
    <brk id="337" max="16383" man="1"/>
    <brk id="374" max="16383" man="1"/>
    <brk id="411" max="16383" man="1"/>
    <brk id="448" max="16383" man="1"/>
    <brk id="4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M121"/>
  <sheetViews>
    <sheetView zoomScaleNormal="100" workbookViewId="0">
      <selection activeCell="B6" sqref="B6"/>
    </sheetView>
  </sheetViews>
  <sheetFormatPr baseColWidth="10" defaultRowHeight="13.2" x14ac:dyDescent="0.25"/>
  <cols>
    <col min="7" max="7" width="4.109375" customWidth="1"/>
  </cols>
  <sheetData>
    <row r="1" spans="1:13" ht="23.4" x14ac:dyDescent="0.25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25">
      <c r="A2" s="202" t="s">
        <v>560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4"/>
    </row>
    <row r="3" spans="1:13" x14ac:dyDescent="0.25">
      <c r="A3" s="202" t="s">
        <v>562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4"/>
    </row>
    <row r="4" spans="1:13" x14ac:dyDescent="0.25">
      <c r="A4" s="202" t="s">
        <v>561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4"/>
    </row>
    <row r="5" spans="1:13" s="71" customFormat="1" x14ac:dyDescent="0.25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</row>
    <row r="6" spans="1:13" s="71" customFormat="1" x14ac:dyDescent="0.25">
      <c r="A6" s="182"/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</row>
    <row r="7" spans="1:13" x14ac:dyDescent="0.25">
      <c r="A7" s="236" t="s">
        <v>289</v>
      </c>
      <c r="B7" s="237"/>
      <c r="C7" s="237"/>
      <c r="D7" s="237"/>
      <c r="E7" s="237"/>
      <c r="F7" s="238"/>
      <c r="G7" s="72"/>
      <c r="H7" s="236" t="s">
        <v>290</v>
      </c>
      <c r="I7" s="237"/>
      <c r="J7" s="237"/>
      <c r="K7" s="237"/>
      <c r="L7" s="237"/>
      <c r="M7" s="238"/>
    </row>
    <row r="8" spans="1:13" x14ac:dyDescent="0.25">
      <c r="A8" s="236" t="s">
        <v>291</v>
      </c>
      <c r="B8" s="238"/>
      <c r="C8" s="73" t="s">
        <v>292</v>
      </c>
      <c r="D8" s="73" t="s">
        <v>293</v>
      </c>
      <c r="E8" s="90" t="s">
        <v>294</v>
      </c>
      <c r="F8" s="73" t="s">
        <v>295</v>
      </c>
      <c r="G8" s="72"/>
      <c r="H8" s="236" t="s">
        <v>291</v>
      </c>
      <c r="I8" s="238"/>
      <c r="J8" s="73" t="s">
        <v>292</v>
      </c>
      <c r="K8" s="73" t="s">
        <v>293</v>
      </c>
      <c r="L8" s="90" t="s">
        <v>294</v>
      </c>
      <c r="M8" s="73" t="s">
        <v>295</v>
      </c>
    </row>
    <row r="9" spans="1:13" x14ac:dyDescent="0.25">
      <c r="A9" s="74" t="s">
        <v>276</v>
      </c>
      <c r="B9" s="75" t="s">
        <v>296</v>
      </c>
      <c r="C9" s="76" t="s">
        <v>297</v>
      </c>
      <c r="D9" s="77">
        <f>0.605*1.05</f>
        <v>0.63524999999999998</v>
      </c>
      <c r="E9" s="101">
        <f>'Precios de Mat.'!$B$8</f>
        <v>0</v>
      </c>
      <c r="F9" s="101">
        <f>D9*E9</f>
        <v>0</v>
      </c>
      <c r="G9" s="72"/>
      <c r="H9" s="74" t="s">
        <v>276</v>
      </c>
      <c r="I9" s="75" t="s">
        <v>298</v>
      </c>
      <c r="J9" s="76" t="s">
        <v>297</v>
      </c>
      <c r="K9" s="77">
        <f>0.298*1.05</f>
        <v>0.31290000000000001</v>
      </c>
      <c r="L9" s="101">
        <f>'Precios de Mat.'!$B$8</f>
        <v>0</v>
      </c>
      <c r="M9" s="101">
        <f>K9*L9</f>
        <v>0</v>
      </c>
    </row>
    <row r="10" spans="1:13" x14ac:dyDescent="0.25">
      <c r="A10" s="74" t="s">
        <v>284</v>
      </c>
      <c r="B10" s="75" t="s">
        <v>299</v>
      </c>
      <c r="C10" s="76" t="s">
        <v>300</v>
      </c>
      <c r="D10" s="77">
        <f>1.004*1.1</f>
        <v>1.1044</v>
      </c>
      <c r="E10" s="101">
        <f>'Precios de Mat.'!$B$14</f>
        <v>0</v>
      </c>
      <c r="F10" s="101">
        <f>D10*E10</f>
        <v>0</v>
      </c>
      <c r="G10" s="72"/>
      <c r="H10" s="74" t="s">
        <v>286</v>
      </c>
      <c r="I10" s="75" t="s">
        <v>301</v>
      </c>
      <c r="J10" s="76" t="s">
        <v>300</v>
      </c>
      <c r="K10" s="77">
        <f>1.184*1.1</f>
        <v>1.3024</v>
      </c>
      <c r="L10" s="101">
        <f>'Precios de Mat.'!$B$15</f>
        <v>0</v>
      </c>
      <c r="M10" s="101">
        <f>K10*L10</f>
        <v>0</v>
      </c>
    </row>
    <row r="11" spans="1:13" x14ac:dyDescent="0.25">
      <c r="A11" s="74" t="s">
        <v>302</v>
      </c>
      <c r="B11" s="75" t="s">
        <v>303</v>
      </c>
      <c r="C11" s="76" t="s">
        <v>300</v>
      </c>
      <c r="D11" s="75">
        <f>0.276*1.2</f>
        <v>0.33119999999999999</v>
      </c>
      <c r="E11" s="101">
        <f>'Precios de Mat.'!$B$16</f>
        <v>0</v>
      </c>
      <c r="F11" s="101">
        <f>D11*E11</f>
        <v>0</v>
      </c>
      <c r="G11" s="72"/>
      <c r="H11" s="74" t="s">
        <v>287</v>
      </c>
      <c r="I11" s="75" t="s">
        <v>304</v>
      </c>
      <c r="J11" s="76" t="s">
        <v>300</v>
      </c>
      <c r="K11" s="75">
        <f>0.259*1.2</f>
        <v>0.31080000000000002</v>
      </c>
      <c r="L11" s="101">
        <f>'Precios de Mat.'!$B$16</f>
        <v>0</v>
      </c>
      <c r="M11" s="101">
        <f>K11*L11</f>
        <v>0</v>
      </c>
    </row>
    <row r="12" spans="1:13" x14ac:dyDescent="0.25">
      <c r="A12" s="74"/>
      <c r="B12" s="75"/>
      <c r="C12" s="76"/>
      <c r="D12" s="75"/>
      <c r="E12" s="78"/>
      <c r="F12" s="78"/>
      <c r="G12" s="72"/>
      <c r="H12" s="74"/>
      <c r="I12" s="75"/>
      <c r="J12" s="76"/>
      <c r="K12" s="75"/>
      <c r="L12" s="78"/>
      <c r="M12" s="78"/>
    </row>
    <row r="13" spans="1:13" x14ac:dyDescent="0.25">
      <c r="A13" s="233" t="s">
        <v>305</v>
      </c>
      <c r="B13" s="234"/>
      <c r="C13" s="234"/>
      <c r="D13" s="234"/>
      <c r="E13" s="235"/>
      <c r="F13" s="101">
        <f>F9+F10+F11</f>
        <v>0</v>
      </c>
      <c r="G13" s="72"/>
      <c r="H13" s="233" t="s">
        <v>305</v>
      </c>
      <c r="I13" s="234"/>
      <c r="J13" s="234"/>
      <c r="K13" s="234"/>
      <c r="L13" s="235"/>
      <c r="M13" s="78">
        <f>M9+M10+M11</f>
        <v>0</v>
      </c>
    </row>
    <row r="14" spans="1:13" x14ac:dyDescent="0.25">
      <c r="A14" s="236" t="s">
        <v>306</v>
      </c>
      <c r="B14" s="237"/>
      <c r="C14" s="237"/>
      <c r="D14" s="237"/>
      <c r="E14" s="237"/>
      <c r="F14" s="238"/>
      <c r="G14" s="72"/>
      <c r="H14" s="236" t="s">
        <v>306</v>
      </c>
      <c r="I14" s="237"/>
      <c r="J14" s="237"/>
      <c r="K14" s="237"/>
      <c r="L14" s="237"/>
      <c r="M14" s="238"/>
    </row>
    <row r="15" spans="1:13" x14ac:dyDescent="0.25">
      <c r="A15" s="74"/>
      <c r="B15" s="75"/>
      <c r="C15" s="79"/>
      <c r="D15" s="79"/>
      <c r="E15" s="80"/>
      <c r="F15" s="78"/>
      <c r="G15" s="72"/>
      <c r="H15" s="74"/>
      <c r="I15" s="75"/>
      <c r="J15" s="79"/>
      <c r="K15" s="79"/>
      <c r="L15" s="80"/>
      <c r="M15" s="78"/>
    </row>
    <row r="16" spans="1:13" x14ac:dyDescent="0.25">
      <c r="A16" s="81"/>
      <c r="B16" s="82"/>
      <c r="C16" s="83"/>
      <c r="D16" s="75"/>
      <c r="E16" s="79"/>
      <c r="F16" s="78"/>
      <c r="G16" s="72"/>
      <c r="H16" s="81"/>
      <c r="I16" s="82"/>
      <c r="J16" s="83"/>
      <c r="K16" s="75"/>
      <c r="L16" s="79"/>
      <c r="M16" s="78"/>
    </row>
    <row r="17" spans="1:13" x14ac:dyDescent="0.25">
      <c r="A17" s="233" t="s">
        <v>305</v>
      </c>
      <c r="B17" s="234"/>
      <c r="C17" s="234"/>
      <c r="D17" s="234"/>
      <c r="E17" s="235"/>
      <c r="F17" s="78"/>
      <c r="G17" s="72"/>
      <c r="H17" s="233" t="s">
        <v>305</v>
      </c>
      <c r="I17" s="234"/>
      <c r="J17" s="234"/>
      <c r="K17" s="234"/>
      <c r="L17" s="235"/>
      <c r="M17" s="78"/>
    </row>
    <row r="18" spans="1:13" x14ac:dyDescent="0.25">
      <c r="A18" s="241" t="s">
        <v>307</v>
      </c>
      <c r="B18" s="242"/>
      <c r="C18" s="234"/>
      <c r="D18" s="234"/>
      <c r="E18" s="235"/>
      <c r="F18" s="101">
        <f>F13+F17</f>
        <v>0</v>
      </c>
      <c r="G18" s="72"/>
      <c r="H18" s="241" t="s">
        <v>307</v>
      </c>
      <c r="I18" s="242"/>
      <c r="J18" s="234"/>
      <c r="K18" s="234"/>
      <c r="L18" s="235"/>
      <c r="M18" s="78">
        <f>M13+M17</f>
        <v>0</v>
      </c>
    </row>
    <row r="19" spans="1:13" x14ac:dyDescent="0.25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</row>
    <row r="20" spans="1:13" x14ac:dyDescent="0.25">
      <c r="A20" s="236" t="s">
        <v>308</v>
      </c>
      <c r="B20" s="237"/>
      <c r="C20" s="237"/>
      <c r="D20" s="237"/>
      <c r="E20" s="237"/>
      <c r="F20" s="238"/>
      <c r="G20" s="72"/>
      <c r="H20" s="236" t="s">
        <v>309</v>
      </c>
      <c r="I20" s="237"/>
      <c r="J20" s="237"/>
      <c r="K20" s="237"/>
      <c r="L20" s="237"/>
      <c r="M20" s="238"/>
    </row>
    <row r="21" spans="1:13" x14ac:dyDescent="0.25">
      <c r="A21" s="236" t="s">
        <v>291</v>
      </c>
      <c r="B21" s="238"/>
      <c r="C21" s="73" t="s">
        <v>292</v>
      </c>
      <c r="D21" s="73" t="s">
        <v>293</v>
      </c>
      <c r="E21" s="90" t="s">
        <v>294</v>
      </c>
      <c r="F21" s="73" t="s">
        <v>295</v>
      </c>
      <c r="G21" s="72"/>
      <c r="H21" s="236" t="s">
        <v>291</v>
      </c>
      <c r="I21" s="238"/>
      <c r="J21" s="73" t="s">
        <v>292</v>
      </c>
      <c r="K21" s="73" t="s">
        <v>293</v>
      </c>
      <c r="L21" s="90" t="s">
        <v>294</v>
      </c>
      <c r="M21" s="73" t="s">
        <v>295</v>
      </c>
    </row>
    <row r="22" spans="1:13" x14ac:dyDescent="0.25">
      <c r="A22" s="74" t="s">
        <v>276</v>
      </c>
      <c r="B22" s="75" t="s">
        <v>310</v>
      </c>
      <c r="C22" s="76" t="s">
        <v>297</v>
      </c>
      <c r="D22" s="77">
        <f>0.496*1.05</f>
        <v>0.52080000000000004</v>
      </c>
      <c r="E22" s="101">
        <f>'Precios de Mat.'!$B$8</f>
        <v>0</v>
      </c>
      <c r="F22" s="101">
        <f>D22*E22</f>
        <v>0</v>
      </c>
      <c r="G22" s="72"/>
      <c r="H22" s="74" t="s">
        <v>276</v>
      </c>
      <c r="I22" s="75" t="s">
        <v>311</v>
      </c>
      <c r="J22" s="76" t="s">
        <v>297</v>
      </c>
      <c r="K22" s="77">
        <f>0.248*1.05</f>
        <v>0.26040000000000002</v>
      </c>
      <c r="L22" s="101">
        <f>'Precios de Mat.'!$B$8</f>
        <v>0</v>
      </c>
      <c r="M22" s="101">
        <f>K22*L22</f>
        <v>0</v>
      </c>
    </row>
    <row r="23" spans="1:13" x14ac:dyDescent="0.25">
      <c r="A23" s="74" t="s">
        <v>286</v>
      </c>
      <c r="B23" s="75" t="s">
        <v>312</v>
      </c>
      <c r="C23" s="76" t="s">
        <v>300</v>
      </c>
      <c r="D23" s="77">
        <f>1.104*1.1</f>
        <v>1.2144000000000001</v>
      </c>
      <c r="E23" s="101">
        <f>'Precios de Mat.'!$B$15</f>
        <v>0</v>
      </c>
      <c r="F23" s="101">
        <f>D23*E23</f>
        <v>0</v>
      </c>
      <c r="G23" s="72"/>
      <c r="H23" s="74" t="s">
        <v>286</v>
      </c>
      <c r="I23" s="75" t="s">
        <v>313</v>
      </c>
      <c r="J23" s="76" t="s">
        <v>300</v>
      </c>
      <c r="K23" s="77">
        <f>1.265*1.1</f>
        <v>1.3915</v>
      </c>
      <c r="L23" s="101">
        <f>'Precios de Mat.'!$B$15</f>
        <v>0</v>
      </c>
      <c r="M23" s="101">
        <f>K23*L23</f>
        <v>0</v>
      </c>
    </row>
    <row r="24" spans="1:13" x14ac:dyDescent="0.25">
      <c r="A24" s="74" t="s">
        <v>302</v>
      </c>
      <c r="B24" s="75" t="s">
        <v>314</v>
      </c>
      <c r="C24" s="76" t="s">
        <v>300</v>
      </c>
      <c r="D24" s="75">
        <f>0.271*1.2</f>
        <v>0.32519999999999999</v>
      </c>
      <c r="E24" s="101">
        <f>'Precios de Mat.'!$B$16</f>
        <v>0</v>
      </c>
      <c r="F24" s="101">
        <f>D24*E24</f>
        <v>0</v>
      </c>
      <c r="G24" s="72"/>
      <c r="H24" s="74" t="s">
        <v>287</v>
      </c>
      <c r="I24" s="75" t="s">
        <v>315</v>
      </c>
      <c r="J24" s="76" t="s">
        <v>300</v>
      </c>
      <c r="K24" s="75">
        <f>0.252*1.2</f>
        <v>0.3024</v>
      </c>
      <c r="L24" s="101">
        <f>'Precios de Mat.'!$B$16</f>
        <v>0</v>
      </c>
      <c r="M24" s="101">
        <f>K24*L24</f>
        <v>0</v>
      </c>
    </row>
    <row r="25" spans="1:13" x14ac:dyDescent="0.25">
      <c r="A25" s="74"/>
      <c r="B25" s="75"/>
      <c r="C25" s="76"/>
      <c r="D25" s="75"/>
      <c r="E25" s="78"/>
      <c r="F25" s="78"/>
      <c r="G25" s="72"/>
      <c r="H25" s="74"/>
      <c r="I25" s="75"/>
      <c r="J25" s="76"/>
      <c r="K25" s="75"/>
      <c r="L25" s="78"/>
      <c r="M25" s="78"/>
    </row>
    <row r="26" spans="1:13" x14ac:dyDescent="0.25">
      <c r="A26" s="233" t="s">
        <v>305</v>
      </c>
      <c r="B26" s="234"/>
      <c r="C26" s="234"/>
      <c r="D26" s="234"/>
      <c r="E26" s="235"/>
      <c r="F26" s="101">
        <f>F22+F23+F24</f>
        <v>0</v>
      </c>
      <c r="G26" s="72"/>
      <c r="H26" s="233" t="s">
        <v>305</v>
      </c>
      <c r="I26" s="234"/>
      <c r="J26" s="234"/>
      <c r="K26" s="234"/>
      <c r="L26" s="235"/>
      <c r="M26" s="101">
        <f>M22+M23+M24</f>
        <v>0</v>
      </c>
    </row>
    <row r="27" spans="1:13" x14ac:dyDescent="0.25">
      <c r="A27" s="236" t="s">
        <v>306</v>
      </c>
      <c r="B27" s="237"/>
      <c r="C27" s="237"/>
      <c r="D27" s="237"/>
      <c r="E27" s="237"/>
      <c r="F27" s="238"/>
      <c r="G27" s="72"/>
      <c r="H27" s="236" t="s">
        <v>306</v>
      </c>
      <c r="I27" s="237"/>
      <c r="J27" s="237"/>
      <c r="K27" s="237"/>
      <c r="L27" s="237"/>
      <c r="M27" s="238"/>
    </row>
    <row r="28" spans="1:13" x14ac:dyDescent="0.25">
      <c r="A28" s="74"/>
      <c r="B28" s="75"/>
      <c r="C28" s="79"/>
      <c r="D28" s="79"/>
      <c r="E28" s="80"/>
      <c r="F28" s="78"/>
      <c r="G28" s="72"/>
      <c r="H28" s="74"/>
      <c r="I28" s="75"/>
      <c r="J28" s="79"/>
      <c r="K28" s="79"/>
      <c r="L28" s="80"/>
      <c r="M28" s="78"/>
    </row>
    <row r="29" spans="1:13" x14ac:dyDescent="0.25">
      <c r="A29" s="81"/>
      <c r="B29" s="82"/>
      <c r="C29" s="83"/>
      <c r="D29" s="75"/>
      <c r="E29" s="79"/>
      <c r="F29" s="78"/>
      <c r="G29" s="72"/>
      <c r="H29" s="81"/>
      <c r="I29" s="82"/>
      <c r="J29" s="83"/>
      <c r="K29" s="75"/>
      <c r="L29" s="79"/>
      <c r="M29" s="78"/>
    </row>
    <row r="30" spans="1:13" x14ac:dyDescent="0.25">
      <c r="A30" s="233" t="s">
        <v>305</v>
      </c>
      <c r="B30" s="234"/>
      <c r="C30" s="234"/>
      <c r="D30" s="234"/>
      <c r="E30" s="235"/>
      <c r="F30" s="78"/>
      <c r="G30" s="72"/>
      <c r="H30" s="233" t="s">
        <v>305</v>
      </c>
      <c r="I30" s="234"/>
      <c r="J30" s="234"/>
      <c r="K30" s="234"/>
      <c r="L30" s="235"/>
      <c r="M30" s="78"/>
    </row>
    <row r="31" spans="1:13" x14ac:dyDescent="0.25">
      <c r="A31" s="241" t="s">
        <v>307</v>
      </c>
      <c r="B31" s="242"/>
      <c r="C31" s="234"/>
      <c r="D31" s="234"/>
      <c r="E31" s="235"/>
      <c r="F31" s="101">
        <f>F26+F30</f>
        <v>0</v>
      </c>
      <c r="G31" s="72"/>
      <c r="H31" s="241" t="s">
        <v>307</v>
      </c>
      <c r="I31" s="242"/>
      <c r="J31" s="234"/>
      <c r="K31" s="234"/>
      <c r="L31" s="235"/>
      <c r="M31" s="101">
        <f>M26+M30</f>
        <v>0</v>
      </c>
    </row>
    <row r="32" spans="1:13" x14ac:dyDescent="0.25">
      <c r="A32" s="87"/>
      <c r="B32" s="87"/>
      <c r="C32" s="87"/>
      <c r="D32" s="87"/>
      <c r="E32" s="87"/>
      <c r="F32" s="183"/>
      <c r="G32" s="72"/>
      <c r="H32" s="87"/>
      <c r="I32" s="87"/>
      <c r="J32" s="87"/>
      <c r="K32" s="87"/>
      <c r="L32" s="87"/>
      <c r="M32" s="183"/>
    </row>
    <row r="33" spans="1:13" x14ac:dyDescent="0.25">
      <c r="A33" s="87"/>
      <c r="B33" s="87"/>
      <c r="C33" s="87"/>
      <c r="D33" s="87"/>
      <c r="E33" s="87"/>
      <c r="F33" s="183"/>
      <c r="G33" s="72"/>
      <c r="H33" s="87"/>
      <c r="I33" s="87"/>
      <c r="J33" s="87"/>
      <c r="K33" s="87"/>
      <c r="L33" s="87"/>
      <c r="M33" s="183"/>
    </row>
    <row r="34" spans="1:13" x14ac:dyDescent="0.2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</row>
    <row r="35" spans="1:13" x14ac:dyDescent="0.25">
      <c r="A35" s="236" t="s">
        <v>316</v>
      </c>
      <c r="B35" s="237"/>
      <c r="C35" s="237"/>
      <c r="D35" s="237"/>
      <c r="E35" s="237"/>
      <c r="F35" s="238"/>
      <c r="G35" s="72"/>
      <c r="H35" s="236" t="s">
        <v>317</v>
      </c>
      <c r="I35" s="237"/>
      <c r="J35" s="237"/>
      <c r="K35" s="237"/>
      <c r="L35" s="237"/>
      <c r="M35" s="238"/>
    </row>
    <row r="36" spans="1:13" x14ac:dyDescent="0.25">
      <c r="A36" s="236" t="s">
        <v>291</v>
      </c>
      <c r="B36" s="238"/>
      <c r="C36" s="73" t="s">
        <v>292</v>
      </c>
      <c r="D36" s="73" t="s">
        <v>293</v>
      </c>
      <c r="E36" s="90" t="s">
        <v>294</v>
      </c>
      <c r="F36" s="73" t="s">
        <v>295</v>
      </c>
      <c r="G36" s="72"/>
      <c r="H36" s="236" t="s">
        <v>291</v>
      </c>
      <c r="I36" s="238"/>
      <c r="J36" s="73" t="s">
        <v>292</v>
      </c>
      <c r="K36" s="73" t="s">
        <v>293</v>
      </c>
      <c r="L36" s="90" t="s">
        <v>294</v>
      </c>
      <c r="M36" s="73" t="s">
        <v>295</v>
      </c>
    </row>
    <row r="37" spans="1:13" x14ac:dyDescent="0.25">
      <c r="A37" s="74" t="s">
        <v>276</v>
      </c>
      <c r="B37" s="75" t="s">
        <v>318</v>
      </c>
      <c r="C37" s="76" t="s">
        <v>297</v>
      </c>
      <c r="D37" s="77">
        <f>0.421*1.05</f>
        <v>0.44205</v>
      </c>
      <c r="E37" s="101">
        <f>'Precios de Mat.'!$B$8</f>
        <v>0</v>
      </c>
      <c r="F37" s="101">
        <f>D37*E37</f>
        <v>0</v>
      </c>
      <c r="G37" s="72"/>
      <c r="H37" s="74" t="s">
        <v>276</v>
      </c>
      <c r="I37" s="75" t="s">
        <v>319</v>
      </c>
      <c r="J37" s="76" t="s">
        <v>297</v>
      </c>
      <c r="K37" s="77">
        <f>0.209*1.05</f>
        <v>0.21945000000000001</v>
      </c>
      <c r="L37" s="101">
        <f>'Precios de Mat.'!$B$8</f>
        <v>0</v>
      </c>
      <c r="M37" s="101">
        <f>K37*L37</f>
        <v>0</v>
      </c>
    </row>
    <row r="38" spans="1:13" x14ac:dyDescent="0.25">
      <c r="A38" s="74" t="s">
        <v>286</v>
      </c>
      <c r="B38" s="75" t="s">
        <v>320</v>
      </c>
      <c r="C38" s="76" t="s">
        <v>300</v>
      </c>
      <c r="D38" s="77">
        <f>1.129*1.1</f>
        <v>1.2419</v>
      </c>
      <c r="E38" s="101">
        <f>'Precios de Mat.'!$B$15</f>
        <v>0</v>
      </c>
      <c r="F38" s="101">
        <f>D38*E38</f>
        <v>0</v>
      </c>
      <c r="G38" s="72"/>
      <c r="H38" s="74" t="s">
        <v>286</v>
      </c>
      <c r="I38" s="75" t="s">
        <v>321</v>
      </c>
      <c r="J38" s="76" t="s">
        <v>300</v>
      </c>
      <c r="K38" s="77">
        <f>1.305*1.1</f>
        <v>1.4355</v>
      </c>
      <c r="L38" s="101">
        <f>'Precios de Mat.'!$B$15</f>
        <v>0</v>
      </c>
      <c r="M38" s="101">
        <f>K38*L38</f>
        <v>0</v>
      </c>
    </row>
    <row r="39" spans="1:13" x14ac:dyDescent="0.25">
      <c r="A39" s="74" t="s">
        <v>302</v>
      </c>
      <c r="B39" s="75" t="s">
        <v>322</v>
      </c>
      <c r="C39" s="76" t="s">
        <v>300</v>
      </c>
      <c r="D39" s="75">
        <f>0.268*1.2</f>
        <v>0.3216</v>
      </c>
      <c r="E39" s="101">
        <f>'Precios de Mat.'!$B$16</f>
        <v>0</v>
      </c>
      <c r="F39" s="101">
        <f>D39*E39</f>
        <v>0</v>
      </c>
      <c r="G39" s="72"/>
      <c r="H39" s="74" t="s">
        <v>287</v>
      </c>
      <c r="I39" s="75" t="s">
        <v>323</v>
      </c>
      <c r="J39" s="76" t="s">
        <v>300</v>
      </c>
      <c r="K39" s="75">
        <f>0.247*1.2</f>
        <v>0.2964</v>
      </c>
      <c r="L39" s="101">
        <f>'Precios de Mat.'!$B$16</f>
        <v>0</v>
      </c>
      <c r="M39" s="101">
        <f>K39*L39</f>
        <v>0</v>
      </c>
    </row>
    <row r="40" spans="1:13" x14ac:dyDescent="0.25">
      <c r="A40" s="74"/>
      <c r="B40" s="75"/>
      <c r="C40" s="76"/>
      <c r="D40" s="75"/>
      <c r="E40" s="78"/>
      <c r="F40" s="78"/>
      <c r="G40" s="72"/>
      <c r="H40" s="74"/>
      <c r="I40" s="75"/>
      <c r="J40" s="76"/>
      <c r="K40" s="75"/>
      <c r="L40" s="101"/>
      <c r="M40" s="101"/>
    </row>
    <row r="41" spans="1:13" x14ac:dyDescent="0.25">
      <c r="A41" s="233" t="s">
        <v>305</v>
      </c>
      <c r="B41" s="234"/>
      <c r="C41" s="234"/>
      <c r="D41" s="234"/>
      <c r="E41" s="235"/>
      <c r="F41" s="101">
        <f>F37+F38+F39</f>
        <v>0</v>
      </c>
      <c r="G41" s="72"/>
      <c r="H41" s="233" t="s">
        <v>305</v>
      </c>
      <c r="I41" s="234"/>
      <c r="J41" s="234"/>
      <c r="K41" s="234"/>
      <c r="L41" s="235"/>
      <c r="M41" s="101">
        <f>M37+M38+M39</f>
        <v>0</v>
      </c>
    </row>
    <row r="42" spans="1:13" x14ac:dyDescent="0.25">
      <c r="A42" s="236" t="s">
        <v>306</v>
      </c>
      <c r="B42" s="237"/>
      <c r="C42" s="237"/>
      <c r="D42" s="237"/>
      <c r="E42" s="237"/>
      <c r="F42" s="238"/>
      <c r="G42" s="72"/>
      <c r="H42" s="236" t="s">
        <v>306</v>
      </c>
      <c r="I42" s="237"/>
      <c r="J42" s="237"/>
      <c r="K42" s="237"/>
      <c r="L42" s="237"/>
      <c r="M42" s="238"/>
    </row>
    <row r="43" spans="1:13" x14ac:dyDescent="0.25">
      <c r="A43" s="74"/>
      <c r="B43" s="75"/>
      <c r="C43" s="79"/>
      <c r="D43" s="79"/>
      <c r="E43" s="80"/>
      <c r="F43" s="78"/>
      <c r="G43" s="72"/>
      <c r="H43" s="74"/>
      <c r="I43" s="75"/>
      <c r="J43" s="79"/>
      <c r="K43" s="79"/>
      <c r="L43" s="80"/>
      <c r="M43" s="78"/>
    </row>
    <row r="44" spans="1:13" x14ac:dyDescent="0.25">
      <c r="A44" s="81"/>
      <c r="B44" s="82"/>
      <c r="C44" s="83"/>
      <c r="D44" s="75"/>
      <c r="E44" s="79"/>
      <c r="F44" s="78"/>
      <c r="G44" s="72"/>
      <c r="H44" s="81"/>
      <c r="I44" s="82"/>
      <c r="J44" s="83"/>
      <c r="K44" s="75"/>
      <c r="L44" s="79"/>
      <c r="M44" s="78"/>
    </row>
    <row r="45" spans="1:13" x14ac:dyDescent="0.25">
      <c r="A45" s="233" t="s">
        <v>305</v>
      </c>
      <c r="B45" s="234"/>
      <c r="C45" s="234"/>
      <c r="D45" s="234"/>
      <c r="E45" s="235"/>
      <c r="F45" s="78"/>
      <c r="G45" s="72"/>
      <c r="H45" s="233" t="s">
        <v>305</v>
      </c>
      <c r="I45" s="234"/>
      <c r="J45" s="234"/>
      <c r="K45" s="234"/>
      <c r="L45" s="235"/>
      <c r="M45" s="78"/>
    </row>
    <row r="46" spans="1:13" x14ac:dyDescent="0.25">
      <c r="A46" s="241" t="s">
        <v>307</v>
      </c>
      <c r="B46" s="242"/>
      <c r="C46" s="234"/>
      <c r="D46" s="234"/>
      <c r="E46" s="235"/>
      <c r="F46" s="101">
        <f>F41+F45</f>
        <v>0</v>
      </c>
      <c r="G46" s="72"/>
      <c r="H46" s="241" t="s">
        <v>307</v>
      </c>
      <c r="I46" s="242"/>
      <c r="J46" s="234"/>
      <c r="K46" s="234"/>
      <c r="L46" s="235"/>
      <c r="M46" s="101">
        <f>M41+M45</f>
        <v>0</v>
      </c>
    </row>
    <row r="47" spans="1:13" x14ac:dyDescent="0.2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</row>
    <row r="48" spans="1:13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</row>
    <row r="49" spans="1:13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</row>
    <row r="50" spans="1:13" x14ac:dyDescent="0.25">
      <c r="A50" s="236" t="s">
        <v>324</v>
      </c>
      <c r="B50" s="237"/>
      <c r="C50" s="237"/>
      <c r="D50" s="237"/>
      <c r="E50" s="237"/>
      <c r="F50" s="238"/>
      <c r="G50" s="72"/>
      <c r="H50" s="236" t="s">
        <v>325</v>
      </c>
      <c r="I50" s="237"/>
      <c r="J50" s="237"/>
      <c r="K50" s="237"/>
      <c r="L50" s="237"/>
      <c r="M50" s="238"/>
    </row>
    <row r="51" spans="1:13" x14ac:dyDescent="0.25">
      <c r="A51" s="236" t="s">
        <v>291</v>
      </c>
      <c r="B51" s="238"/>
      <c r="C51" s="73" t="s">
        <v>292</v>
      </c>
      <c r="D51" s="73" t="s">
        <v>293</v>
      </c>
      <c r="E51" s="90" t="s">
        <v>294</v>
      </c>
      <c r="F51" s="73" t="s">
        <v>295</v>
      </c>
      <c r="G51" s="72"/>
      <c r="H51" s="236" t="s">
        <v>291</v>
      </c>
      <c r="I51" s="238"/>
      <c r="J51" s="73" t="s">
        <v>292</v>
      </c>
      <c r="K51" s="73" t="s">
        <v>293</v>
      </c>
      <c r="L51" s="90" t="s">
        <v>294</v>
      </c>
      <c r="M51" s="73" t="s">
        <v>295</v>
      </c>
    </row>
    <row r="52" spans="1:13" x14ac:dyDescent="0.25">
      <c r="A52" s="74" t="s">
        <v>276</v>
      </c>
      <c r="B52" s="75" t="s">
        <v>326</v>
      </c>
      <c r="C52" s="76" t="s">
        <v>297</v>
      </c>
      <c r="D52" s="77">
        <f>0.351*1.05</f>
        <v>0.36854999999999999</v>
      </c>
      <c r="E52" s="101">
        <f>'Precios de Mat.'!$B$8</f>
        <v>0</v>
      </c>
      <c r="F52" s="101">
        <f>D52*E52</f>
        <v>0</v>
      </c>
      <c r="G52" s="72"/>
      <c r="H52" s="74" t="s">
        <v>280</v>
      </c>
      <c r="I52" s="75" t="s">
        <v>327</v>
      </c>
      <c r="J52" s="76" t="s">
        <v>297</v>
      </c>
      <c r="K52" s="77">
        <f>0.682*1.05</f>
        <v>0.71610000000000007</v>
      </c>
      <c r="L52" s="101">
        <f>'Precios de Mat.'!$B$11</f>
        <v>0</v>
      </c>
      <c r="M52" s="101">
        <f>K52*L52</f>
        <v>0</v>
      </c>
    </row>
    <row r="53" spans="1:13" x14ac:dyDescent="0.25">
      <c r="A53" s="74" t="s">
        <v>286</v>
      </c>
      <c r="B53" s="75" t="s">
        <v>328</v>
      </c>
      <c r="C53" s="76" t="s">
        <v>300</v>
      </c>
      <c r="D53" s="77">
        <f>1.154*1.1</f>
        <v>1.2694000000000001</v>
      </c>
      <c r="E53" s="101">
        <f>'Precios de Mat.'!$B$15</f>
        <v>0</v>
      </c>
      <c r="F53" s="101">
        <f>D53*E53</f>
        <v>0</v>
      </c>
      <c r="G53" s="72"/>
      <c r="H53" s="74" t="s">
        <v>287</v>
      </c>
      <c r="I53" s="75" t="s">
        <v>329</v>
      </c>
      <c r="J53" s="76" t="s">
        <v>300</v>
      </c>
      <c r="K53" s="77">
        <f>0.451*1.2</f>
        <v>0.54120000000000001</v>
      </c>
      <c r="L53" s="101">
        <f>'Precios de Mat.'!$B$16</f>
        <v>0</v>
      </c>
      <c r="M53" s="101">
        <f>K53*L53</f>
        <v>0</v>
      </c>
    </row>
    <row r="54" spans="1:13" x14ac:dyDescent="0.25">
      <c r="A54" s="74" t="s">
        <v>302</v>
      </c>
      <c r="B54" s="75" t="s">
        <v>330</v>
      </c>
      <c r="C54" s="76" t="s">
        <v>300</v>
      </c>
      <c r="D54" s="75">
        <f>0.261*1.2</f>
        <v>0.31319999999999998</v>
      </c>
      <c r="E54" s="101">
        <f>'Precios de Mat.'!$B$16</f>
        <v>0</v>
      </c>
      <c r="F54" s="101">
        <f>D54*E54</f>
        <v>0</v>
      </c>
      <c r="G54" s="72"/>
      <c r="H54" s="74"/>
      <c r="I54" s="75"/>
      <c r="J54" s="76"/>
      <c r="K54" s="75"/>
      <c r="L54" s="101"/>
      <c r="M54" s="101"/>
    </row>
    <row r="55" spans="1:13" x14ac:dyDescent="0.25">
      <c r="A55" s="74"/>
      <c r="B55" s="75"/>
      <c r="C55" s="76"/>
      <c r="D55" s="75"/>
      <c r="E55" s="78"/>
      <c r="F55" s="78"/>
      <c r="G55" s="72"/>
      <c r="H55" s="74"/>
      <c r="I55" s="75"/>
      <c r="J55" s="76"/>
      <c r="K55" s="75"/>
      <c r="L55" s="78"/>
      <c r="M55" s="78"/>
    </row>
    <row r="56" spans="1:13" x14ac:dyDescent="0.25">
      <c r="A56" s="233" t="s">
        <v>305</v>
      </c>
      <c r="B56" s="234"/>
      <c r="C56" s="234"/>
      <c r="D56" s="234"/>
      <c r="E56" s="235"/>
      <c r="F56" s="101">
        <f>F52+F53+F54</f>
        <v>0</v>
      </c>
      <c r="G56" s="72"/>
      <c r="H56" s="233" t="s">
        <v>305</v>
      </c>
      <c r="I56" s="234"/>
      <c r="J56" s="234"/>
      <c r="K56" s="234"/>
      <c r="L56" s="235"/>
      <c r="M56" s="101">
        <f>M52+M53+M54</f>
        <v>0</v>
      </c>
    </row>
    <row r="57" spans="1:13" x14ac:dyDescent="0.25">
      <c r="A57" s="236" t="s">
        <v>306</v>
      </c>
      <c r="B57" s="237"/>
      <c r="C57" s="237"/>
      <c r="D57" s="237"/>
      <c r="E57" s="237"/>
      <c r="F57" s="238"/>
      <c r="G57" s="72"/>
      <c r="H57" s="236" t="s">
        <v>306</v>
      </c>
      <c r="I57" s="237"/>
      <c r="J57" s="237"/>
      <c r="K57" s="237"/>
      <c r="L57" s="237"/>
      <c r="M57" s="238"/>
    </row>
    <row r="58" spans="1:13" x14ac:dyDescent="0.25">
      <c r="A58" s="74"/>
      <c r="B58" s="75"/>
      <c r="C58" s="79"/>
      <c r="D58" s="79"/>
      <c r="E58" s="80"/>
      <c r="F58" s="78"/>
      <c r="G58" s="72"/>
      <c r="H58" s="74"/>
      <c r="I58" s="75"/>
      <c r="J58" s="79"/>
      <c r="K58" s="79"/>
      <c r="L58" s="80"/>
      <c r="M58" s="78"/>
    </row>
    <row r="59" spans="1:13" x14ac:dyDescent="0.25">
      <c r="A59" s="81"/>
      <c r="B59" s="82"/>
      <c r="C59" s="83"/>
      <c r="D59" s="75"/>
      <c r="E59" s="79"/>
      <c r="F59" s="78"/>
      <c r="G59" s="72"/>
      <c r="H59" s="81"/>
      <c r="I59" s="82"/>
      <c r="J59" s="83"/>
      <c r="K59" s="75"/>
      <c r="L59" s="79"/>
      <c r="M59" s="78"/>
    </row>
    <row r="60" spans="1:13" x14ac:dyDescent="0.25">
      <c r="A60" s="233" t="s">
        <v>305</v>
      </c>
      <c r="B60" s="234"/>
      <c r="C60" s="234"/>
      <c r="D60" s="234"/>
      <c r="E60" s="235"/>
      <c r="F60" s="78"/>
      <c r="G60" s="72"/>
      <c r="H60" s="233" t="s">
        <v>305</v>
      </c>
      <c r="I60" s="234"/>
      <c r="J60" s="234"/>
      <c r="K60" s="234"/>
      <c r="L60" s="235"/>
      <c r="M60" s="78"/>
    </row>
    <row r="61" spans="1:13" x14ac:dyDescent="0.25">
      <c r="A61" s="241" t="s">
        <v>307</v>
      </c>
      <c r="B61" s="242"/>
      <c r="C61" s="234"/>
      <c r="D61" s="234"/>
      <c r="E61" s="235"/>
      <c r="F61" s="101">
        <f>F56+F60</f>
        <v>0</v>
      </c>
      <c r="G61" s="72"/>
      <c r="H61" s="241" t="s">
        <v>307</v>
      </c>
      <c r="I61" s="242"/>
      <c r="J61" s="234"/>
      <c r="K61" s="234"/>
      <c r="L61" s="235"/>
      <c r="M61" s="101">
        <f>M56+M60</f>
        <v>0</v>
      </c>
    </row>
    <row r="62" spans="1:13" x14ac:dyDescent="0.25">
      <c r="A62" s="85"/>
      <c r="B62" s="85"/>
      <c r="C62" s="85"/>
      <c r="D62" s="85"/>
      <c r="E62" s="85"/>
      <c r="F62" s="86"/>
      <c r="G62" s="72"/>
      <c r="H62" s="85"/>
      <c r="I62" s="85"/>
      <c r="J62" s="85"/>
      <c r="K62" s="85"/>
      <c r="L62" s="85"/>
      <c r="M62" s="86"/>
    </row>
    <row r="63" spans="1:13" x14ac:dyDescent="0.25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</row>
    <row r="64" spans="1:13" x14ac:dyDescent="0.25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</row>
    <row r="65" spans="1:13" x14ac:dyDescent="0.25">
      <c r="A65" s="236" t="s">
        <v>331</v>
      </c>
      <c r="B65" s="237"/>
      <c r="C65" s="237"/>
      <c r="D65" s="237"/>
      <c r="E65" s="237"/>
      <c r="F65" s="238"/>
      <c r="G65" s="72"/>
      <c r="H65" s="236" t="s">
        <v>332</v>
      </c>
      <c r="I65" s="237"/>
      <c r="J65" s="237"/>
      <c r="K65" s="237"/>
      <c r="L65" s="237"/>
      <c r="M65" s="238"/>
    </row>
    <row r="66" spans="1:13" x14ac:dyDescent="0.25">
      <c r="A66" s="236" t="s">
        <v>291</v>
      </c>
      <c r="B66" s="238"/>
      <c r="C66" s="73" t="s">
        <v>292</v>
      </c>
      <c r="D66" s="73" t="s">
        <v>293</v>
      </c>
      <c r="E66" s="90" t="s">
        <v>294</v>
      </c>
      <c r="F66" s="73" t="s">
        <v>295</v>
      </c>
      <c r="G66" s="72"/>
      <c r="H66" s="236" t="s">
        <v>291</v>
      </c>
      <c r="I66" s="238"/>
      <c r="J66" s="73" t="s">
        <v>292</v>
      </c>
      <c r="K66" s="73" t="s">
        <v>293</v>
      </c>
      <c r="L66" s="90" t="s">
        <v>294</v>
      </c>
      <c r="M66" s="73" t="s">
        <v>295</v>
      </c>
    </row>
    <row r="67" spans="1:13" x14ac:dyDescent="0.25">
      <c r="A67" s="74" t="s">
        <v>280</v>
      </c>
      <c r="B67" s="75" t="s">
        <v>333</v>
      </c>
      <c r="C67" s="76" t="s">
        <v>297</v>
      </c>
      <c r="D67" s="77">
        <f>0.433*1.05</f>
        <v>0.45465</v>
      </c>
      <c r="E67" s="101">
        <f>'Precios de Mat.'!$B$11</f>
        <v>0</v>
      </c>
      <c r="F67" s="101">
        <f>D67*E67</f>
        <v>0</v>
      </c>
      <c r="G67" s="72"/>
      <c r="H67" s="74" t="s">
        <v>276</v>
      </c>
      <c r="I67" s="75" t="s">
        <v>334</v>
      </c>
      <c r="J67" s="76" t="s">
        <v>297</v>
      </c>
      <c r="K67" s="77">
        <f>1.305*1.05</f>
        <v>1.37025</v>
      </c>
      <c r="L67" s="101">
        <f>'Precios de Mat.'!$B$8</f>
        <v>0</v>
      </c>
      <c r="M67" s="101">
        <f>K67*L67</f>
        <v>0</v>
      </c>
    </row>
    <row r="68" spans="1:13" x14ac:dyDescent="0.25">
      <c r="A68" s="74" t="s">
        <v>284</v>
      </c>
      <c r="B68" s="75" t="s">
        <v>335</v>
      </c>
      <c r="C68" s="76" t="s">
        <v>300</v>
      </c>
      <c r="D68" s="77">
        <f>0.539*1.1</f>
        <v>0.59290000000000009</v>
      </c>
      <c r="E68" s="101">
        <f>'Precios de Mat.'!$B$14</f>
        <v>0</v>
      </c>
      <c r="F68" s="101">
        <f>D68*E68</f>
        <v>0</v>
      </c>
      <c r="G68" s="72"/>
      <c r="H68" s="74" t="s">
        <v>287</v>
      </c>
      <c r="I68" s="75" t="s">
        <v>336</v>
      </c>
      <c r="J68" s="76" t="s">
        <v>300</v>
      </c>
      <c r="K68" s="77">
        <f>0.988*1.2</f>
        <v>1.1856</v>
      </c>
      <c r="L68" s="101">
        <f>'Precios de Mat.'!$B$16</f>
        <v>0</v>
      </c>
      <c r="M68" s="101">
        <f>K68*L68</f>
        <v>0</v>
      </c>
    </row>
    <row r="69" spans="1:13" x14ac:dyDescent="0.25">
      <c r="A69" s="74" t="s">
        <v>302</v>
      </c>
      <c r="B69" s="75" t="s">
        <v>337</v>
      </c>
      <c r="C69" s="76" t="s">
        <v>300</v>
      </c>
      <c r="D69" s="75">
        <f>0.29*1.2</f>
        <v>0.34799999999999998</v>
      </c>
      <c r="E69" s="101">
        <f>'Precios de Mat.'!$B$16</f>
        <v>0</v>
      </c>
      <c r="F69" s="101">
        <f>D69*E69</f>
        <v>0</v>
      </c>
      <c r="G69" s="72"/>
      <c r="H69" s="74"/>
      <c r="I69" s="75"/>
      <c r="J69" s="76"/>
      <c r="K69" s="75"/>
      <c r="L69" s="101"/>
      <c r="M69" s="101"/>
    </row>
    <row r="70" spans="1:13" x14ac:dyDescent="0.25">
      <c r="A70" s="74"/>
      <c r="B70" s="75"/>
      <c r="C70" s="76"/>
      <c r="D70" s="75"/>
      <c r="E70" s="78"/>
      <c r="F70" s="78"/>
      <c r="G70" s="72"/>
      <c r="H70" s="74"/>
      <c r="I70" s="75"/>
      <c r="J70" s="76"/>
      <c r="K70" s="75"/>
      <c r="L70" s="78"/>
      <c r="M70" s="78"/>
    </row>
    <row r="71" spans="1:13" x14ac:dyDescent="0.25">
      <c r="A71" s="233" t="s">
        <v>305</v>
      </c>
      <c r="B71" s="234"/>
      <c r="C71" s="234"/>
      <c r="D71" s="234"/>
      <c r="E71" s="235"/>
      <c r="F71" s="101">
        <f>F67+F68+F69</f>
        <v>0</v>
      </c>
      <c r="G71" s="72"/>
      <c r="H71" s="233" t="s">
        <v>305</v>
      </c>
      <c r="I71" s="234"/>
      <c r="J71" s="234"/>
      <c r="K71" s="234"/>
      <c r="L71" s="235"/>
      <c r="M71" s="101">
        <f>M67+M68+M69</f>
        <v>0</v>
      </c>
    </row>
    <row r="72" spans="1:13" x14ac:dyDescent="0.25">
      <c r="A72" s="236" t="s">
        <v>306</v>
      </c>
      <c r="B72" s="237"/>
      <c r="C72" s="237"/>
      <c r="D72" s="237"/>
      <c r="E72" s="237"/>
      <c r="F72" s="238"/>
      <c r="G72" s="72"/>
      <c r="H72" s="236" t="s">
        <v>306</v>
      </c>
      <c r="I72" s="237"/>
      <c r="J72" s="237"/>
      <c r="K72" s="237"/>
      <c r="L72" s="237"/>
      <c r="M72" s="238"/>
    </row>
    <row r="73" spans="1:13" x14ac:dyDescent="0.25">
      <c r="A73" s="74"/>
      <c r="B73" s="75"/>
      <c r="C73" s="79"/>
      <c r="D73" s="79"/>
      <c r="E73" s="80"/>
      <c r="F73" s="78"/>
      <c r="G73" s="72"/>
      <c r="H73" s="74"/>
      <c r="I73" s="75"/>
      <c r="J73" s="79"/>
      <c r="K73" s="79"/>
      <c r="L73" s="80"/>
      <c r="M73" s="78"/>
    </row>
    <row r="74" spans="1:13" x14ac:dyDescent="0.25">
      <c r="A74" s="81"/>
      <c r="B74" s="82"/>
      <c r="C74" s="83"/>
      <c r="D74" s="75"/>
      <c r="E74" s="79"/>
      <c r="F74" s="78"/>
      <c r="G74" s="72"/>
      <c r="H74" s="81"/>
      <c r="I74" s="82"/>
      <c r="J74" s="83"/>
      <c r="K74" s="75"/>
      <c r="L74" s="79"/>
      <c r="M74" s="78"/>
    </row>
    <row r="75" spans="1:13" x14ac:dyDescent="0.25">
      <c r="A75" s="233" t="s">
        <v>305</v>
      </c>
      <c r="B75" s="234"/>
      <c r="C75" s="234"/>
      <c r="D75" s="234"/>
      <c r="E75" s="235"/>
      <c r="F75" s="78"/>
      <c r="G75" s="72"/>
      <c r="H75" s="233" t="s">
        <v>305</v>
      </c>
      <c r="I75" s="234"/>
      <c r="J75" s="234"/>
      <c r="K75" s="234"/>
      <c r="L75" s="235"/>
      <c r="M75" s="78"/>
    </row>
    <row r="76" spans="1:13" x14ac:dyDescent="0.25">
      <c r="A76" s="241" t="s">
        <v>307</v>
      </c>
      <c r="B76" s="242"/>
      <c r="C76" s="234"/>
      <c r="D76" s="234"/>
      <c r="E76" s="235"/>
      <c r="F76" s="101">
        <f>F71+F75</f>
        <v>0</v>
      </c>
      <c r="G76" s="72"/>
      <c r="H76" s="241" t="s">
        <v>307</v>
      </c>
      <c r="I76" s="242"/>
      <c r="J76" s="234"/>
      <c r="K76" s="234"/>
      <c r="L76" s="235"/>
      <c r="M76" s="101">
        <f>M71+M75</f>
        <v>0</v>
      </c>
    </row>
    <row r="77" spans="1:13" x14ac:dyDescent="0.2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4"/>
      <c r="L77" s="84"/>
      <c r="M77" s="84"/>
    </row>
    <row r="78" spans="1:13" x14ac:dyDescent="0.2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  <c r="M78" s="84"/>
    </row>
    <row r="79" spans="1:13" x14ac:dyDescent="0.25">
      <c r="A79" s="84"/>
      <c r="B79" s="84"/>
      <c r="C79" s="84"/>
      <c r="D79" s="84"/>
      <c r="E79" s="84"/>
      <c r="F79" s="84"/>
      <c r="G79" s="84"/>
      <c r="H79" s="84"/>
      <c r="I79" s="84"/>
      <c r="J79" s="84"/>
      <c r="K79" s="84"/>
      <c r="L79" s="84"/>
      <c r="M79" s="84"/>
    </row>
    <row r="80" spans="1:13" x14ac:dyDescent="0.25">
      <c r="A80" s="236" t="s">
        <v>338</v>
      </c>
      <c r="B80" s="237"/>
      <c r="C80" s="237"/>
      <c r="D80" s="237"/>
      <c r="E80" s="237"/>
      <c r="F80" s="238"/>
      <c r="G80" s="72"/>
      <c r="H80" s="236" t="s">
        <v>339</v>
      </c>
      <c r="I80" s="237"/>
      <c r="J80" s="237"/>
      <c r="K80" s="237"/>
      <c r="L80" s="237"/>
      <c r="M80" s="238"/>
    </row>
    <row r="81" spans="1:13" x14ac:dyDescent="0.25">
      <c r="A81" s="236" t="s">
        <v>291</v>
      </c>
      <c r="B81" s="238"/>
      <c r="C81" s="73" t="s">
        <v>292</v>
      </c>
      <c r="D81" s="73" t="s">
        <v>293</v>
      </c>
      <c r="E81" s="90" t="s">
        <v>294</v>
      </c>
      <c r="F81" s="73" t="s">
        <v>295</v>
      </c>
      <c r="G81" s="72"/>
      <c r="H81" s="236" t="s">
        <v>291</v>
      </c>
      <c r="I81" s="238"/>
      <c r="J81" s="73" t="s">
        <v>292</v>
      </c>
      <c r="K81" s="73" t="s">
        <v>293</v>
      </c>
      <c r="L81" s="90" t="s">
        <v>294</v>
      </c>
      <c r="M81" s="73" t="s">
        <v>295</v>
      </c>
    </row>
    <row r="82" spans="1:13" x14ac:dyDescent="0.25">
      <c r="A82" s="74" t="s">
        <v>340</v>
      </c>
      <c r="B82" s="75" t="s">
        <v>341</v>
      </c>
      <c r="C82" s="76" t="s">
        <v>297</v>
      </c>
      <c r="D82" s="77">
        <f>0.322*1.05</f>
        <v>0.33810000000000001</v>
      </c>
      <c r="E82" s="101">
        <f>'Precios de Mat.'!$B$9</f>
        <v>0</v>
      </c>
      <c r="F82" s="101">
        <f>D82*E82</f>
        <v>0</v>
      </c>
      <c r="G82" s="72"/>
      <c r="H82" s="74" t="s">
        <v>340</v>
      </c>
      <c r="I82" s="75" t="s">
        <v>334</v>
      </c>
      <c r="J82" s="76" t="s">
        <v>297</v>
      </c>
      <c r="K82" s="77">
        <f>1.305*1.05</f>
        <v>1.37025</v>
      </c>
      <c r="L82" s="101">
        <f>'Precios de Mat.'!$B$9</f>
        <v>0</v>
      </c>
      <c r="M82" s="101">
        <f>K82*L82</f>
        <v>0</v>
      </c>
    </row>
    <row r="83" spans="1:13" x14ac:dyDescent="0.25">
      <c r="A83" s="74" t="s">
        <v>342</v>
      </c>
      <c r="B83" s="75" t="s">
        <v>343</v>
      </c>
      <c r="C83" s="76" t="s">
        <v>297</v>
      </c>
      <c r="D83" s="77">
        <f>0.107*1.05</f>
        <v>0.11235000000000001</v>
      </c>
      <c r="E83" s="101">
        <f>'Precios de Mat.'!$B$10</f>
        <v>0</v>
      </c>
      <c r="F83" s="101">
        <f>D83*E83</f>
        <v>0</v>
      </c>
      <c r="G83" s="72"/>
      <c r="H83" s="74" t="s">
        <v>287</v>
      </c>
      <c r="I83" s="75" t="s">
        <v>336</v>
      </c>
      <c r="J83" s="76" t="s">
        <v>300</v>
      </c>
      <c r="K83" s="77">
        <f>0.988*1.2</f>
        <v>1.1856</v>
      </c>
      <c r="L83" s="101">
        <f>'Precios de Mat.'!$B$16</f>
        <v>0</v>
      </c>
      <c r="M83" s="101">
        <f>K83*L83</f>
        <v>0</v>
      </c>
    </row>
    <row r="84" spans="1:13" x14ac:dyDescent="0.25">
      <c r="A84" s="74" t="s">
        <v>344</v>
      </c>
      <c r="B84" s="75" t="s">
        <v>345</v>
      </c>
      <c r="C84" s="76" t="s">
        <v>297</v>
      </c>
      <c r="D84" s="75">
        <f>1.194*1.1</f>
        <v>1.3134000000000001</v>
      </c>
      <c r="E84" s="101">
        <f>'Precios de Mat.'!$B$12</f>
        <v>0</v>
      </c>
      <c r="F84" s="101">
        <f>D84*E84</f>
        <v>0</v>
      </c>
      <c r="G84" s="72"/>
      <c r="H84" s="74"/>
      <c r="I84" s="75"/>
      <c r="J84" s="76"/>
      <c r="K84" s="75"/>
      <c r="L84" s="101"/>
      <c r="M84" s="101"/>
    </row>
    <row r="85" spans="1:13" x14ac:dyDescent="0.25">
      <c r="A85" s="74" t="s">
        <v>287</v>
      </c>
      <c r="B85" s="75" t="s">
        <v>346</v>
      </c>
      <c r="C85" s="76" t="s">
        <v>300</v>
      </c>
      <c r="D85" s="75">
        <f>0.507*1.2</f>
        <v>0.60839999999999994</v>
      </c>
      <c r="E85" s="101">
        <f>'Precios de Mat.'!$B$16</f>
        <v>0</v>
      </c>
      <c r="F85" s="101">
        <f>D85*E85</f>
        <v>0</v>
      </c>
      <c r="G85" s="72"/>
      <c r="H85" s="74"/>
      <c r="I85" s="75"/>
      <c r="J85" s="76"/>
      <c r="K85" s="75"/>
      <c r="L85" s="101"/>
      <c r="M85" s="101"/>
    </row>
    <row r="86" spans="1:13" x14ac:dyDescent="0.25">
      <c r="A86" s="233" t="s">
        <v>305</v>
      </c>
      <c r="B86" s="234"/>
      <c r="C86" s="234"/>
      <c r="D86" s="234"/>
      <c r="E86" s="235"/>
      <c r="F86" s="101">
        <f>F82+F83+F84+F85</f>
        <v>0</v>
      </c>
      <c r="G86" s="72"/>
      <c r="H86" s="233" t="s">
        <v>305</v>
      </c>
      <c r="I86" s="234"/>
      <c r="J86" s="234"/>
      <c r="K86" s="234"/>
      <c r="L86" s="235"/>
      <c r="M86" s="101">
        <f>M82+M83+M84</f>
        <v>0</v>
      </c>
    </row>
    <row r="87" spans="1:13" x14ac:dyDescent="0.25">
      <c r="A87" s="236" t="s">
        <v>306</v>
      </c>
      <c r="B87" s="237"/>
      <c r="C87" s="237"/>
      <c r="D87" s="237"/>
      <c r="E87" s="237"/>
      <c r="F87" s="238"/>
      <c r="G87" s="72"/>
      <c r="H87" s="236" t="s">
        <v>306</v>
      </c>
      <c r="I87" s="237"/>
      <c r="J87" s="237"/>
      <c r="K87" s="237"/>
      <c r="L87" s="237"/>
      <c r="M87" s="238"/>
    </row>
    <row r="88" spans="1:13" x14ac:dyDescent="0.25">
      <c r="A88" s="74"/>
      <c r="B88" s="75"/>
      <c r="C88" s="79"/>
      <c r="D88" s="79"/>
      <c r="E88" s="80"/>
      <c r="F88" s="78"/>
      <c r="G88" s="72"/>
      <c r="H88" s="74"/>
      <c r="I88" s="75"/>
      <c r="J88" s="79"/>
      <c r="K88" s="79"/>
      <c r="L88" s="80"/>
      <c r="M88" s="78"/>
    </row>
    <row r="89" spans="1:13" x14ac:dyDescent="0.25">
      <c r="A89" s="81"/>
      <c r="B89" s="82"/>
      <c r="C89" s="83"/>
      <c r="D89" s="75"/>
      <c r="E89" s="79"/>
      <c r="F89" s="78"/>
      <c r="G89" s="72"/>
      <c r="H89" s="81"/>
      <c r="I89" s="82"/>
      <c r="J89" s="83"/>
      <c r="K89" s="75"/>
      <c r="L89" s="79"/>
      <c r="M89" s="78"/>
    </row>
    <row r="90" spans="1:13" x14ac:dyDescent="0.25">
      <c r="A90" s="233" t="s">
        <v>305</v>
      </c>
      <c r="B90" s="234"/>
      <c r="C90" s="234"/>
      <c r="D90" s="234"/>
      <c r="E90" s="235"/>
      <c r="F90" s="78"/>
      <c r="G90" s="72"/>
      <c r="H90" s="233" t="s">
        <v>305</v>
      </c>
      <c r="I90" s="234"/>
      <c r="J90" s="234"/>
      <c r="K90" s="234"/>
      <c r="L90" s="235"/>
      <c r="M90" s="78"/>
    </row>
    <row r="91" spans="1:13" x14ac:dyDescent="0.25">
      <c r="A91" s="241" t="s">
        <v>307</v>
      </c>
      <c r="B91" s="242"/>
      <c r="C91" s="234"/>
      <c r="D91" s="234"/>
      <c r="E91" s="235"/>
      <c r="F91" s="101">
        <f>F86+F90</f>
        <v>0</v>
      </c>
      <c r="G91" s="72"/>
      <c r="H91" s="241" t="s">
        <v>307</v>
      </c>
      <c r="I91" s="242"/>
      <c r="J91" s="234"/>
      <c r="K91" s="234"/>
      <c r="L91" s="235"/>
      <c r="M91" s="101">
        <f>M86+M90</f>
        <v>0</v>
      </c>
    </row>
    <row r="92" spans="1:13" x14ac:dyDescent="0.25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</row>
    <row r="93" spans="1:13" x14ac:dyDescent="0.25">
      <c r="A93" s="8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</row>
    <row r="94" spans="1:13" x14ac:dyDescent="0.25">
      <c r="A94" s="8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</row>
    <row r="95" spans="1:13" x14ac:dyDescent="0.25">
      <c r="A95" s="236" t="s">
        <v>347</v>
      </c>
      <c r="B95" s="237"/>
      <c r="C95" s="237"/>
      <c r="D95" s="237"/>
      <c r="E95" s="237"/>
      <c r="F95" s="238"/>
      <c r="G95" s="89"/>
      <c r="H95" s="89"/>
      <c r="I95" s="89"/>
      <c r="J95" s="89"/>
      <c r="K95" s="89"/>
      <c r="L95" s="89"/>
      <c r="M95" s="89"/>
    </row>
    <row r="96" spans="1:13" x14ac:dyDescent="0.25">
      <c r="A96" s="239" t="s">
        <v>291</v>
      </c>
      <c r="B96" s="240"/>
      <c r="C96" s="90" t="s">
        <v>292</v>
      </c>
      <c r="D96" s="90" t="s">
        <v>293</v>
      </c>
      <c r="E96" s="90" t="s">
        <v>294</v>
      </c>
      <c r="F96" s="90" t="s">
        <v>295</v>
      </c>
      <c r="G96" s="89"/>
      <c r="H96" s="89"/>
      <c r="I96" s="89"/>
      <c r="J96" s="89"/>
      <c r="K96" s="89"/>
      <c r="L96" s="89"/>
      <c r="M96" s="89"/>
    </row>
    <row r="97" spans="1:13" x14ac:dyDescent="0.25">
      <c r="A97" s="74" t="s">
        <v>276</v>
      </c>
      <c r="B97" s="75" t="s">
        <v>348</v>
      </c>
      <c r="C97" s="91" t="s">
        <v>297</v>
      </c>
      <c r="D97" s="92">
        <f>2.008*1.05</f>
        <v>2.1084000000000001</v>
      </c>
      <c r="E97" s="101">
        <f>'Precios de Mat.'!$B$8</f>
        <v>0</v>
      </c>
      <c r="F97" s="93">
        <f>D97*E97</f>
        <v>0</v>
      </c>
      <c r="G97" s="89"/>
      <c r="H97" s="89"/>
      <c r="I97" s="89"/>
      <c r="J97" s="89"/>
      <c r="K97" s="89"/>
      <c r="L97" s="89"/>
      <c r="M97" s="89"/>
    </row>
    <row r="98" spans="1:13" x14ac:dyDescent="0.25">
      <c r="A98" s="74" t="s">
        <v>287</v>
      </c>
      <c r="B98" s="75" t="s">
        <v>349</v>
      </c>
      <c r="C98" s="91" t="s">
        <v>300</v>
      </c>
      <c r="D98" s="94">
        <f>0.953*1.2</f>
        <v>1.1435999999999999</v>
      </c>
      <c r="E98" s="101">
        <f>'Precios de Mat.'!$B$16</f>
        <v>0</v>
      </c>
      <c r="F98" s="93">
        <f>D98*E98</f>
        <v>0</v>
      </c>
      <c r="G98" s="89"/>
      <c r="H98" s="89"/>
      <c r="I98" s="89"/>
      <c r="J98" s="89"/>
      <c r="K98" s="89"/>
      <c r="L98" s="89"/>
      <c r="M98" s="89"/>
    </row>
    <row r="99" spans="1:13" x14ac:dyDescent="0.25">
      <c r="A99" s="74"/>
      <c r="B99" s="75"/>
      <c r="C99" s="91"/>
      <c r="D99" s="94"/>
      <c r="E99" s="93"/>
      <c r="F99" s="93"/>
      <c r="G99" s="89"/>
      <c r="H99" s="89"/>
      <c r="I99" s="89"/>
      <c r="J99" s="89"/>
      <c r="K99" s="89"/>
      <c r="L99" s="89"/>
      <c r="M99" s="89"/>
    </row>
    <row r="100" spans="1:13" x14ac:dyDescent="0.25">
      <c r="A100" s="74"/>
      <c r="B100" s="75"/>
      <c r="C100" s="91"/>
      <c r="D100" s="94"/>
      <c r="E100" s="95"/>
      <c r="F100" s="93"/>
      <c r="G100" s="89"/>
      <c r="H100" s="89"/>
      <c r="I100" s="89"/>
      <c r="J100" s="89"/>
      <c r="K100" s="89"/>
      <c r="L100" s="89"/>
      <c r="M100" s="89"/>
    </row>
    <row r="101" spans="1:13" x14ac:dyDescent="0.25">
      <c r="A101" s="233" t="s">
        <v>305</v>
      </c>
      <c r="B101" s="234"/>
      <c r="C101" s="234"/>
      <c r="D101" s="234"/>
      <c r="E101" s="235"/>
      <c r="F101" s="93">
        <f>F97+F98+F99+F100</f>
        <v>0</v>
      </c>
      <c r="G101" s="89"/>
      <c r="H101" s="89"/>
      <c r="I101" s="89"/>
      <c r="J101" s="89"/>
      <c r="K101" s="89"/>
      <c r="L101" s="89"/>
      <c r="M101" s="89"/>
    </row>
    <row r="102" spans="1:13" x14ac:dyDescent="0.25">
      <c r="A102" s="236" t="s">
        <v>306</v>
      </c>
      <c r="B102" s="237"/>
      <c r="C102" s="237"/>
      <c r="D102" s="237"/>
      <c r="E102" s="237"/>
      <c r="F102" s="238"/>
      <c r="G102" s="89"/>
      <c r="H102" s="89"/>
      <c r="I102" s="89"/>
      <c r="J102" s="89"/>
      <c r="K102" s="89"/>
      <c r="L102" s="89"/>
      <c r="M102" s="89"/>
    </row>
    <row r="103" spans="1:13" x14ac:dyDescent="0.25">
      <c r="A103" s="74"/>
      <c r="B103" s="96"/>
      <c r="C103" s="95"/>
      <c r="D103" s="95"/>
      <c r="E103" s="97"/>
      <c r="F103" s="93"/>
      <c r="G103" s="89"/>
      <c r="H103" s="89"/>
      <c r="I103" s="89"/>
      <c r="J103" s="89"/>
      <c r="K103" s="89"/>
      <c r="L103" s="89"/>
      <c r="M103" s="89"/>
    </row>
    <row r="104" spans="1:13" x14ac:dyDescent="0.25">
      <c r="A104" s="98"/>
      <c r="B104" s="99"/>
      <c r="C104" s="100"/>
      <c r="D104" s="96"/>
      <c r="E104" s="95"/>
      <c r="F104" s="93"/>
      <c r="G104" s="89"/>
      <c r="H104" s="89"/>
      <c r="I104" s="89"/>
      <c r="J104" s="89"/>
      <c r="K104" s="89"/>
      <c r="L104" s="89"/>
      <c r="M104" s="89"/>
    </row>
    <row r="105" spans="1:13" x14ac:dyDescent="0.25">
      <c r="A105" s="233" t="s">
        <v>305</v>
      </c>
      <c r="B105" s="234"/>
      <c r="C105" s="234"/>
      <c r="D105" s="234"/>
      <c r="E105" s="235"/>
      <c r="F105" s="93"/>
      <c r="G105" s="89"/>
      <c r="H105" s="89"/>
      <c r="I105" s="89"/>
      <c r="J105" s="89"/>
      <c r="K105" s="89"/>
      <c r="L105" s="89"/>
      <c r="M105" s="89"/>
    </row>
    <row r="106" spans="1:13" x14ac:dyDescent="0.25">
      <c r="A106" s="233" t="s">
        <v>307</v>
      </c>
      <c r="B106" s="234"/>
      <c r="C106" s="234"/>
      <c r="D106" s="234"/>
      <c r="E106" s="235"/>
      <c r="F106" s="93">
        <f>F101+F105</f>
        <v>0</v>
      </c>
      <c r="G106" s="89"/>
      <c r="H106" s="89"/>
      <c r="I106" s="89"/>
      <c r="J106" s="89"/>
      <c r="K106" s="89"/>
      <c r="L106" s="89"/>
      <c r="M106" s="89"/>
    </row>
    <row r="107" spans="1:13" x14ac:dyDescent="0.25">
      <c r="A107" s="8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</row>
    <row r="108" spans="1:13" x14ac:dyDescent="0.25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</row>
    <row r="109" spans="1:13" x14ac:dyDescent="0.25">
      <c r="A109" s="8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</row>
    <row r="110" spans="1:13" x14ac:dyDescent="0.25">
      <c r="A110" s="236" t="s">
        <v>350</v>
      </c>
      <c r="B110" s="237"/>
      <c r="C110" s="237"/>
      <c r="D110" s="237"/>
      <c r="E110" s="237"/>
      <c r="F110" s="238"/>
      <c r="G110" s="89"/>
      <c r="H110" s="89"/>
      <c r="I110" s="89"/>
      <c r="J110" s="89"/>
      <c r="K110" s="89"/>
      <c r="L110" s="89"/>
      <c r="M110" s="89"/>
    </row>
    <row r="111" spans="1:13" x14ac:dyDescent="0.25">
      <c r="A111" s="239" t="s">
        <v>291</v>
      </c>
      <c r="B111" s="240"/>
      <c r="C111" s="90" t="s">
        <v>292</v>
      </c>
      <c r="D111" s="90" t="s">
        <v>293</v>
      </c>
      <c r="E111" s="90" t="s">
        <v>294</v>
      </c>
      <c r="F111" s="90" t="s">
        <v>295</v>
      </c>
      <c r="G111" s="89"/>
      <c r="H111" s="89"/>
      <c r="I111" s="89"/>
      <c r="J111" s="89"/>
      <c r="K111" s="89"/>
      <c r="L111" s="89"/>
      <c r="M111" s="89"/>
    </row>
    <row r="112" spans="1:13" x14ac:dyDescent="0.25">
      <c r="A112" s="74" t="s">
        <v>340</v>
      </c>
      <c r="B112" s="75" t="s">
        <v>348</v>
      </c>
      <c r="C112" s="91" t="s">
        <v>297</v>
      </c>
      <c r="D112" s="92">
        <f>2.008*1.05</f>
        <v>2.1084000000000001</v>
      </c>
      <c r="E112" s="101">
        <f>'Precios de Mat.'!$B$9</f>
        <v>0</v>
      </c>
      <c r="F112" s="93">
        <f>D112*E112</f>
        <v>0</v>
      </c>
      <c r="G112" s="89"/>
      <c r="H112" s="89"/>
      <c r="I112" s="89"/>
      <c r="J112" s="89"/>
      <c r="K112" s="89"/>
      <c r="L112" s="89"/>
      <c r="M112" s="89"/>
    </row>
    <row r="113" spans="1:13" x14ac:dyDescent="0.25">
      <c r="A113" s="74" t="s">
        <v>287</v>
      </c>
      <c r="B113" s="75" t="s">
        <v>349</v>
      </c>
      <c r="C113" s="91" t="s">
        <v>300</v>
      </c>
      <c r="D113" s="94">
        <f>0.953*1.2</f>
        <v>1.1435999999999999</v>
      </c>
      <c r="E113" s="101">
        <f>'Precios de Mat.'!$B$16</f>
        <v>0</v>
      </c>
      <c r="F113" s="93">
        <f>D113*E113</f>
        <v>0</v>
      </c>
      <c r="G113" s="89"/>
      <c r="H113" s="89"/>
      <c r="I113" s="89"/>
      <c r="J113" s="89"/>
      <c r="K113" s="89"/>
      <c r="L113" s="89"/>
      <c r="M113" s="89"/>
    </row>
    <row r="114" spans="1:13" x14ac:dyDescent="0.25">
      <c r="A114" s="74"/>
      <c r="B114" s="75"/>
      <c r="C114" s="91"/>
      <c r="D114" s="94"/>
      <c r="E114" s="93"/>
      <c r="F114" s="93"/>
      <c r="G114" s="89"/>
      <c r="H114" s="89"/>
      <c r="I114" s="89"/>
      <c r="J114" s="89"/>
      <c r="K114" s="89"/>
      <c r="L114" s="89"/>
      <c r="M114" s="89"/>
    </row>
    <row r="115" spans="1:13" x14ac:dyDescent="0.25">
      <c r="A115" s="74"/>
      <c r="B115" s="75"/>
      <c r="C115" s="91"/>
      <c r="D115" s="94"/>
      <c r="E115" s="93"/>
      <c r="F115" s="93"/>
      <c r="G115" s="89"/>
      <c r="H115" s="89"/>
      <c r="I115" s="89"/>
      <c r="J115" s="89"/>
      <c r="K115" s="89"/>
      <c r="L115" s="89"/>
      <c r="M115" s="89"/>
    </row>
    <row r="116" spans="1:13" x14ac:dyDescent="0.25">
      <c r="A116" s="233" t="s">
        <v>305</v>
      </c>
      <c r="B116" s="234"/>
      <c r="C116" s="234"/>
      <c r="D116" s="234"/>
      <c r="E116" s="235"/>
      <c r="F116" s="93">
        <f>F112+F113+F114+F115</f>
        <v>0</v>
      </c>
      <c r="G116" s="89"/>
      <c r="H116" s="89"/>
      <c r="I116" s="89"/>
      <c r="J116" s="89"/>
      <c r="K116" s="89"/>
      <c r="L116" s="89"/>
      <c r="M116" s="89"/>
    </row>
    <row r="117" spans="1:13" x14ac:dyDescent="0.25">
      <c r="A117" s="236" t="s">
        <v>306</v>
      </c>
      <c r="B117" s="237"/>
      <c r="C117" s="237"/>
      <c r="D117" s="237"/>
      <c r="E117" s="237"/>
      <c r="F117" s="238"/>
      <c r="G117" s="89"/>
      <c r="H117" s="89"/>
      <c r="I117" s="89"/>
      <c r="J117" s="89"/>
      <c r="K117" s="89"/>
      <c r="L117" s="89"/>
      <c r="M117" s="89"/>
    </row>
    <row r="118" spans="1:13" x14ac:dyDescent="0.25">
      <c r="A118" s="74"/>
      <c r="B118" s="96"/>
      <c r="C118" s="95"/>
      <c r="D118" s="95"/>
      <c r="E118" s="97"/>
      <c r="F118" s="97"/>
      <c r="G118" s="89"/>
      <c r="H118" s="89"/>
      <c r="I118" s="89"/>
      <c r="J118" s="89"/>
      <c r="K118" s="89"/>
      <c r="L118" s="89"/>
      <c r="M118" s="89"/>
    </row>
    <row r="119" spans="1:13" x14ac:dyDescent="0.25">
      <c r="A119" s="98"/>
      <c r="B119" s="99"/>
      <c r="C119" s="100"/>
      <c r="D119" s="96"/>
      <c r="E119" s="95"/>
      <c r="F119" s="95"/>
      <c r="G119" s="89"/>
      <c r="H119" s="89"/>
      <c r="I119" s="89"/>
      <c r="J119" s="89"/>
      <c r="K119" s="89"/>
      <c r="L119" s="89"/>
      <c r="M119" s="89"/>
    </row>
    <row r="120" spans="1:13" x14ac:dyDescent="0.25">
      <c r="A120" s="233" t="s">
        <v>305</v>
      </c>
      <c r="B120" s="234"/>
      <c r="C120" s="234"/>
      <c r="D120" s="234"/>
      <c r="E120" s="235"/>
      <c r="F120" s="95"/>
      <c r="G120" s="89"/>
      <c r="H120" s="89"/>
      <c r="I120" s="89"/>
      <c r="J120" s="89"/>
      <c r="K120" s="89"/>
      <c r="L120" s="89"/>
      <c r="M120" s="89"/>
    </row>
    <row r="121" spans="1:13" x14ac:dyDescent="0.25">
      <c r="A121" s="233" t="s">
        <v>307</v>
      </c>
      <c r="B121" s="234"/>
      <c r="C121" s="234"/>
      <c r="D121" s="234"/>
      <c r="E121" s="235"/>
      <c r="F121" s="93">
        <f>F116+F120</f>
        <v>0</v>
      </c>
      <c r="G121" s="89"/>
      <c r="H121" s="89"/>
      <c r="I121" s="89"/>
      <c r="J121" s="89"/>
      <c r="K121" s="89"/>
      <c r="L121" s="89"/>
      <c r="M121" s="89"/>
    </row>
  </sheetData>
  <mergeCells count="88">
    <mergeCell ref="A7:F7"/>
    <mergeCell ref="H7:M7"/>
    <mergeCell ref="A8:B8"/>
    <mergeCell ref="H8:I8"/>
    <mergeCell ref="A13:E13"/>
    <mergeCell ref="H13:L13"/>
    <mergeCell ref="A14:F14"/>
    <mergeCell ref="H14:M14"/>
    <mergeCell ref="A17:E17"/>
    <mergeCell ref="H17:L17"/>
    <mergeCell ref="A18:E18"/>
    <mergeCell ref="H18:L18"/>
    <mergeCell ref="A20:F20"/>
    <mergeCell ref="H20:M20"/>
    <mergeCell ref="A21:B21"/>
    <mergeCell ref="H21:I21"/>
    <mergeCell ref="A26:E26"/>
    <mergeCell ref="H26:L26"/>
    <mergeCell ref="A27:F27"/>
    <mergeCell ref="H27:M27"/>
    <mergeCell ref="A30:E30"/>
    <mergeCell ref="H30:L30"/>
    <mergeCell ref="A31:E31"/>
    <mergeCell ref="H31:L31"/>
    <mergeCell ref="A35:F35"/>
    <mergeCell ref="H35:M35"/>
    <mergeCell ref="A36:B36"/>
    <mergeCell ref="H36:I36"/>
    <mergeCell ref="A41:E41"/>
    <mergeCell ref="H41:L41"/>
    <mergeCell ref="A42:F42"/>
    <mergeCell ref="H42:M42"/>
    <mergeCell ref="A45:E45"/>
    <mergeCell ref="H45:L45"/>
    <mergeCell ref="A46:E46"/>
    <mergeCell ref="H46:L46"/>
    <mergeCell ref="A50:F50"/>
    <mergeCell ref="H50:M50"/>
    <mergeCell ref="A51:B51"/>
    <mergeCell ref="H51:I51"/>
    <mergeCell ref="A56:E56"/>
    <mergeCell ref="H56:L56"/>
    <mergeCell ref="A57:F57"/>
    <mergeCell ref="H57:M57"/>
    <mergeCell ref="A60:E60"/>
    <mergeCell ref="H60:L60"/>
    <mergeCell ref="A61:E61"/>
    <mergeCell ref="H61:L61"/>
    <mergeCell ref="A65:F65"/>
    <mergeCell ref="H65:M65"/>
    <mergeCell ref="A66:B66"/>
    <mergeCell ref="H66:I66"/>
    <mergeCell ref="A71:E71"/>
    <mergeCell ref="H71:L71"/>
    <mergeCell ref="A72:F72"/>
    <mergeCell ref="H72:M72"/>
    <mergeCell ref="A75:E75"/>
    <mergeCell ref="H75:L75"/>
    <mergeCell ref="A76:E76"/>
    <mergeCell ref="H76:L76"/>
    <mergeCell ref="A80:F80"/>
    <mergeCell ref="H80:M80"/>
    <mergeCell ref="A81:B81"/>
    <mergeCell ref="H81:I81"/>
    <mergeCell ref="A86:E86"/>
    <mergeCell ref="H86:L86"/>
    <mergeCell ref="A87:F87"/>
    <mergeCell ref="H87:M87"/>
    <mergeCell ref="A90:E90"/>
    <mergeCell ref="H90:L90"/>
    <mergeCell ref="A91:E91"/>
    <mergeCell ref="H91:L91"/>
    <mergeCell ref="A1:M1"/>
    <mergeCell ref="A2:M2"/>
    <mergeCell ref="A3:M3"/>
    <mergeCell ref="A4:M4"/>
    <mergeCell ref="A121:E121"/>
    <mergeCell ref="A95:F95"/>
    <mergeCell ref="A96:B96"/>
    <mergeCell ref="A101:E101"/>
    <mergeCell ref="A102:F102"/>
    <mergeCell ref="A105:E105"/>
    <mergeCell ref="A106:E106"/>
    <mergeCell ref="A110:F110"/>
    <mergeCell ref="A111:B111"/>
    <mergeCell ref="A116:E116"/>
    <mergeCell ref="A117:F117"/>
    <mergeCell ref="A120:E120"/>
  </mergeCells>
  <phoneticPr fontId="0" type="noConversion"/>
  <pageMargins left="0.45" right="0.75" top="0.52" bottom="1" header="0" footer="0"/>
  <pageSetup scale="43" orientation="portrait" horizontalDpi="4294967293" verticalDpi="0" r:id="rId1"/>
  <headerFooter alignWithMargins="0"/>
  <rowBreaks count="1" manualBreakCount="1">
    <brk id="9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M89"/>
  <sheetViews>
    <sheetView topLeftCell="E1" zoomScaleNormal="100" workbookViewId="0">
      <selection activeCell="F6" sqref="F6"/>
    </sheetView>
  </sheetViews>
  <sheetFormatPr baseColWidth="10" defaultRowHeight="13.2" x14ac:dyDescent="0.25"/>
  <cols>
    <col min="7" max="7" width="7.5546875" customWidth="1"/>
  </cols>
  <sheetData>
    <row r="1" spans="1:13" ht="23.4" x14ac:dyDescent="0.25">
      <c r="E1" s="224" t="s">
        <v>559</v>
      </c>
      <c r="F1" s="225"/>
      <c r="G1" s="225"/>
      <c r="H1" s="225"/>
      <c r="I1" s="225"/>
      <c r="J1" s="225"/>
      <c r="K1" s="225"/>
      <c r="L1" s="225"/>
      <c r="M1" s="226"/>
    </row>
    <row r="2" spans="1:13" x14ac:dyDescent="0.25">
      <c r="E2" s="200" t="s">
        <v>560</v>
      </c>
      <c r="F2" s="200"/>
      <c r="G2" s="200"/>
      <c r="H2" s="200"/>
      <c r="I2" s="200"/>
      <c r="J2" s="200"/>
      <c r="K2" s="200"/>
      <c r="L2" s="200"/>
      <c r="M2" s="200"/>
    </row>
    <row r="3" spans="1:13" x14ac:dyDescent="0.25">
      <c r="E3" s="200" t="s">
        <v>562</v>
      </c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E4" s="200" t="s">
        <v>561</v>
      </c>
      <c r="F4" s="200"/>
      <c r="G4" s="200"/>
      <c r="H4" s="200"/>
      <c r="I4" s="200"/>
      <c r="J4" s="200"/>
      <c r="K4" s="200"/>
      <c r="L4" s="200"/>
      <c r="M4" s="200"/>
    </row>
    <row r="6" spans="1:13" x14ac:dyDescent="0.25">
      <c r="A6" s="102"/>
      <c r="B6" s="102"/>
      <c r="C6" s="102"/>
      <c r="D6" s="102"/>
      <c r="E6" s="102"/>
      <c r="F6" s="102"/>
      <c r="G6" s="103"/>
      <c r="H6" s="102"/>
      <c r="I6" s="102"/>
      <c r="J6" s="102"/>
      <c r="K6" s="102"/>
      <c r="L6" s="102"/>
      <c r="M6" s="102"/>
    </row>
    <row r="7" spans="1:13" x14ac:dyDescent="0.25">
      <c r="A7" s="253" t="s">
        <v>351</v>
      </c>
      <c r="B7" s="254"/>
      <c r="C7" s="254"/>
      <c r="D7" s="254"/>
      <c r="E7" s="254"/>
      <c r="F7" s="255"/>
      <c r="G7" s="72"/>
      <c r="H7" s="253" t="s">
        <v>352</v>
      </c>
      <c r="I7" s="254"/>
      <c r="J7" s="254"/>
      <c r="K7" s="254"/>
      <c r="L7" s="254"/>
      <c r="M7" s="255"/>
    </row>
    <row r="8" spans="1:13" x14ac:dyDescent="0.25">
      <c r="A8" s="256" t="s">
        <v>353</v>
      </c>
      <c r="B8" s="257"/>
      <c r="C8" s="257"/>
      <c r="D8" s="257"/>
      <c r="E8" s="257"/>
      <c r="F8" s="258"/>
      <c r="G8" s="72"/>
      <c r="H8" s="256" t="s">
        <v>354</v>
      </c>
      <c r="I8" s="257"/>
      <c r="J8" s="257"/>
      <c r="K8" s="257"/>
      <c r="L8" s="257"/>
      <c r="M8" s="258"/>
    </row>
    <row r="9" spans="1:13" x14ac:dyDescent="0.25">
      <c r="A9" s="259" t="s">
        <v>355</v>
      </c>
      <c r="B9" s="260"/>
      <c r="C9" s="104" t="s">
        <v>292</v>
      </c>
      <c r="D9" s="104" t="s">
        <v>293</v>
      </c>
      <c r="E9" s="104" t="s">
        <v>294</v>
      </c>
      <c r="F9" s="104" t="s">
        <v>295</v>
      </c>
      <c r="G9" s="88"/>
      <c r="H9" s="259" t="s">
        <v>355</v>
      </c>
      <c r="I9" s="260"/>
      <c r="J9" s="104" t="s">
        <v>292</v>
      </c>
      <c r="K9" s="104" t="s">
        <v>293</v>
      </c>
      <c r="L9" s="104" t="s">
        <v>294</v>
      </c>
      <c r="M9" s="104" t="s">
        <v>295</v>
      </c>
    </row>
    <row r="10" spans="1:13" x14ac:dyDescent="0.25">
      <c r="A10" s="105" t="s">
        <v>276</v>
      </c>
      <c r="B10" s="106" t="s">
        <v>356</v>
      </c>
      <c r="C10" s="107" t="s">
        <v>297</v>
      </c>
      <c r="D10" s="108">
        <f>0.267*1.05</f>
        <v>0.28035000000000004</v>
      </c>
      <c r="E10" s="93">
        <f>'Precios de Mat.'!$B$8</f>
        <v>0</v>
      </c>
      <c r="F10" s="93">
        <f>D10*E10</f>
        <v>0</v>
      </c>
      <c r="G10" s="109"/>
      <c r="H10" s="105" t="s">
        <v>276</v>
      </c>
      <c r="I10" s="106" t="s">
        <v>357</v>
      </c>
      <c r="J10" s="107" t="s">
        <v>277</v>
      </c>
      <c r="K10" s="108">
        <f>0.359*1.05</f>
        <v>0.37695000000000001</v>
      </c>
      <c r="L10" s="93">
        <f>'Precios de Mat.'!$B$8</f>
        <v>0</v>
      </c>
      <c r="M10" s="93">
        <f>K10*L10</f>
        <v>0</v>
      </c>
    </row>
    <row r="11" spans="1:13" x14ac:dyDescent="0.25">
      <c r="A11" s="105" t="s">
        <v>286</v>
      </c>
      <c r="B11" s="83" t="s">
        <v>358</v>
      </c>
      <c r="C11" s="107" t="s">
        <v>300</v>
      </c>
      <c r="D11" s="108">
        <f>0.509*1.1</f>
        <v>0.55990000000000006</v>
      </c>
      <c r="E11" s="93">
        <f>'Precios de Mat.'!$B$15</f>
        <v>0</v>
      </c>
      <c r="F11" s="93">
        <f>D11*E11</f>
        <v>0</v>
      </c>
      <c r="G11" s="109"/>
      <c r="H11" s="105" t="s">
        <v>286</v>
      </c>
      <c r="I11" s="83" t="s">
        <v>359</v>
      </c>
      <c r="J11" s="107" t="s">
        <v>300</v>
      </c>
      <c r="K11" s="108">
        <f>0.498*1.1</f>
        <v>0.54780000000000006</v>
      </c>
      <c r="L11" s="93">
        <f>'Precios de Mat.'!$B$15</f>
        <v>0</v>
      </c>
      <c r="M11" s="93">
        <f>K11*L11</f>
        <v>0</v>
      </c>
    </row>
    <row r="12" spans="1:13" x14ac:dyDescent="0.25">
      <c r="A12" s="105" t="s">
        <v>360</v>
      </c>
      <c r="B12" s="83" t="s">
        <v>361</v>
      </c>
      <c r="C12" s="107" t="s">
        <v>300</v>
      </c>
      <c r="D12" s="108">
        <f>0.616*1.1</f>
        <v>0.67760000000000009</v>
      </c>
      <c r="E12" s="93">
        <f>'Precios de Mat.'!$B$17</f>
        <v>0</v>
      </c>
      <c r="F12" s="93">
        <f>D12*E12</f>
        <v>0</v>
      </c>
      <c r="G12" s="109"/>
      <c r="H12" s="105" t="s">
        <v>362</v>
      </c>
      <c r="I12" s="83" t="s">
        <v>363</v>
      </c>
      <c r="J12" s="107" t="s">
        <v>300</v>
      </c>
      <c r="K12" s="108">
        <f>0.603*1.1</f>
        <v>0.6633</v>
      </c>
      <c r="L12" s="93">
        <f>'Precios de Mat.'!$B$17</f>
        <v>0</v>
      </c>
      <c r="M12" s="93">
        <f>K12*L12</f>
        <v>0</v>
      </c>
    </row>
    <row r="13" spans="1:13" x14ac:dyDescent="0.25">
      <c r="A13" s="105" t="s">
        <v>302</v>
      </c>
      <c r="B13" s="83" t="s">
        <v>364</v>
      </c>
      <c r="C13" s="107" t="s">
        <v>300</v>
      </c>
      <c r="D13" s="108">
        <f>0.217*1.2</f>
        <v>0.26039999999999996</v>
      </c>
      <c r="E13" s="93">
        <f>'Precios de Mat.'!$B$16</f>
        <v>0</v>
      </c>
      <c r="F13" s="93">
        <f>D13*E13</f>
        <v>0</v>
      </c>
      <c r="G13" s="109"/>
      <c r="H13" s="105" t="s">
        <v>287</v>
      </c>
      <c r="I13" s="83" t="s">
        <v>365</v>
      </c>
      <c r="J13" s="107" t="s">
        <v>300</v>
      </c>
      <c r="K13" s="108">
        <f>0.202*1.2</f>
        <v>0.2424</v>
      </c>
      <c r="L13" s="93">
        <f>'Precios de Mat.'!$B$16</f>
        <v>0</v>
      </c>
      <c r="M13" s="93">
        <f>K13*L13</f>
        <v>0</v>
      </c>
    </row>
    <row r="14" spans="1:13" x14ac:dyDescent="0.25">
      <c r="A14" s="105"/>
      <c r="B14" s="110"/>
      <c r="C14" s="107"/>
      <c r="D14" s="111"/>
      <c r="E14" s="93"/>
      <c r="F14" s="93"/>
      <c r="G14" s="109"/>
      <c r="H14" s="105"/>
      <c r="I14" s="110"/>
      <c r="J14" s="107"/>
      <c r="K14" s="111"/>
      <c r="L14" s="93"/>
      <c r="M14" s="93"/>
    </row>
    <row r="15" spans="1:13" x14ac:dyDescent="0.25">
      <c r="A15" s="248" t="s">
        <v>305</v>
      </c>
      <c r="B15" s="249"/>
      <c r="C15" s="249"/>
      <c r="D15" s="249"/>
      <c r="E15" s="250"/>
      <c r="F15" s="93">
        <f>F10+F11+F12+F13+F14</f>
        <v>0</v>
      </c>
      <c r="G15" s="109"/>
      <c r="H15" s="248" t="s">
        <v>305</v>
      </c>
      <c r="I15" s="249"/>
      <c r="J15" s="249"/>
      <c r="K15" s="249"/>
      <c r="L15" s="250"/>
      <c r="M15" s="93">
        <f>M10+M11+M12+M13+M14</f>
        <v>0</v>
      </c>
    </row>
    <row r="16" spans="1:13" x14ac:dyDescent="0.25">
      <c r="A16" s="245" t="s">
        <v>306</v>
      </c>
      <c r="B16" s="246"/>
      <c r="C16" s="246"/>
      <c r="D16" s="246"/>
      <c r="E16" s="246"/>
      <c r="F16" s="247"/>
      <c r="G16" s="109"/>
      <c r="H16" s="245" t="s">
        <v>306</v>
      </c>
      <c r="I16" s="246"/>
      <c r="J16" s="246"/>
      <c r="K16" s="246"/>
      <c r="L16" s="246"/>
      <c r="M16" s="247"/>
    </row>
    <row r="17" spans="1:13" x14ac:dyDescent="0.25">
      <c r="A17" s="243" t="s">
        <v>403</v>
      </c>
      <c r="B17" s="244"/>
      <c r="C17" s="107" t="s">
        <v>69</v>
      </c>
      <c r="D17" s="118">
        <f>1/13</f>
        <v>7.6923076923076927E-2</v>
      </c>
      <c r="E17" s="93">
        <f>Cuadrillas!$E$60</f>
        <v>0</v>
      </c>
      <c r="F17" s="93">
        <f>D17*E17</f>
        <v>0</v>
      </c>
      <c r="G17" s="109"/>
      <c r="H17" s="243" t="s">
        <v>403</v>
      </c>
      <c r="I17" s="244"/>
      <c r="J17" s="107" t="s">
        <v>366</v>
      </c>
      <c r="K17" s="118">
        <f>1/13</f>
        <v>7.6923076923076927E-2</v>
      </c>
      <c r="L17" s="93">
        <f>Cuadrillas!$E$60</f>
        <v>0</v>
      </c>
      <c r="M17" s="93">
        <f>K17*L17</f>
        <v>0</v>
      </c>
    </row>
    <row r="18" spans="1:13" x14ac:dyDescent="0.25">
      <c r="A18" s="112" t="s">
        <v>367</v>
      </c>
      <c r="B18" s="106" t="s">
        <v>368</v>
      </c>
      <c r="C18" s="106" t="s">
        <v>369</v>
      </c>
      <c r="D18" s="118">
        <f>8/13</f>
        <v>0.61538461538461542</v>
      </c>
      <c r="E18" s="93">
        <f>Equipo!$I$77</f>
        <v>20.396480952380951</v>
      </c>
      <c r="F18" s="93">
        <f>D18*E18</f>
        <v>12.551680586080586</v>
      </c>
      <c r="G18" s="113"/>
      <c r="H18" s="112" t="s">
        <v>367</v>
      </c>
      <c r="I18" s="106" t="s">
        <v>368</v>
      </c>
      <c r="J18" s="106" t="s">
        <v>370</v>
      </c>
      <c r="K18" s="118">
        <f>8/13</f>
        <v>0.61538461538461542</v>
      </c>
      <c r="L18" s="93">
        <f>Equipo!$I$77</f>
        <v>20.396480952380951</v>
      </c>
      <c r="M18" s="93">
        <f>K18*L18</f>
        <v>12.551680586080586</v>
      </c>
    </row>
    <row r="19" spans="1:13" x14ac:dyDescent="0.25">
      <c r="A19" s="248" t="s">
        <v>305</v>
      </c>
      <c r="B19" s="249"/>
      <c r="C19" s="249"/>
      <c r="D19" s="249"/>
      <c r="E19" s="250"/>
      <c r="F19" s="93">
        <f>F17+F18</f>
        <v>12.551680586080586</v>
      </c>
      <c r="G19" s="113"/>
      <c r="H19" s="248" t="s">
        <v>305</v>
      </c>
      <c r="I19" s="249"/>
      <c r="J19" s="249"/>
      <c r="K19" s="249"/>
      <c r="L19" s="250"/>
      <c r="M19" s="93">
        <f>M17+M18</f>
        <v>12.551680586080586</v>
      </c>
    </row>
    <row r="20" spans="1:13" x14ac:dyDescent="0.25">
      <c r="A20" s="251" t="s">
        <v>307</v>
      </c>
      <c r="B20" s="252"/>
      <c r="C20" s="249"/>
      <c r="D20" s="249"/>
      <c r="E20" s="250"/>
      <c r="F20" s="93">
        <f>F15+F19</f>
        <v>12.551680586080586</v>
      </c>
      <c r="G20" s="109"/>
      <c r="H20" s="251" t="s">
        <v>307</v>
      </c>
      <c r="I20" s="252"/>
      <c r="J20" s="249"/>
      <c r="K20" s="249"/>
      <c r="L20" s="250"/>
      <c r="M20" s="93">
        <f>M15+M19</f>
        <v>12.551680586080586</v>
      </c>
    </row>
    <row r="21" spans="1:13" x14ac:dyDescent="0.25">
      <c r="A21" s="109"/>
      <c r="B21" s="109"/>
      <c r="C21" s="114"/>
      <c r="D21" s="114"/>
      <c r="E21" s="109"/>
      <c r="F21" s="109"/>
      <c r="G21" s="109"/>
      <c r="H21" s="109"/>
      <c r="I21" s="109"/>
      <c r="J21" s="109"/>
      <c r="K21" s="109"/>
      <c r="L21" s="109"/>
      <c r="M21" s="109"/>
    </row>
    <row r="22" spans="1:13" x14ac:dyDescent="0.25">
      <c r="A22" s="109"/>
      <c r="B22" s="109"/>
      <c r="C22" s="114"/>
      <c r="D22" s="114"/>
      <c r="E22" s="109"/>
      <c r="F22" s="109"/>
      <c r="G22" s="109"/>
      <c r="H22" s="109"/>
      <c r="I22" s="109"/>
      <c r="J22" s="109"/>
      <c r="K22" s="109"/>
      <c r="L22" s="109"/>
      <c r="M22" s="109"/>
    </row>
    <row r="23" spans="1:13" x14ac:dyDescent="0.25">
      <c r="A23" s="115"/>
      <c r="B23" s="115"/>
      <c r="C23" s="116"/>
      <c r="D23" s="116"/>
      <c r="E23" s="115"/>
      <c r="F23" s="115"/>
      <c r="G23" s="109"/>
      <c r="H23" s="115"/>
      <c r="I23" s="115"/>
      <c r="J23" s="115"/>
      <c r="K23" s="115"/>
      <c r="L23" s="115"/>
      <c r="M23" s="115"/>
    </row>
    <row r="24" spans="1:13" x14ac:dyDescent="0.25">
      <c r="A24" s="253" t="s">
        <v>371</v>
      </c>
      <c r="B24" s="254"/>
      <c r="C24" s="254"/>
      <c r="D24" s="254"/>
      <c r="E24" s="254"/>
      <c r="F24" s="255"/>
      <c r="G24" s="114"/>
      <c r="H24" s="253" t="s">
        <v>372</v>
      </c>
      <c r="I24" s="254"/>
      <c r="J24" s="254"/>
      <c r="K24" s="254"/>
      <c r="L24" s="254"/>
      <c r="M24" s="255"/>
    </row>
    <row r="25" spans="1:13" x14ac:dyDescent="0.25">
      <c r="A25" s="256" t="s">
        <v>353</v>
      </c>
      <c r="B25" s="257"/>
      <c r="C25" s="257"/>
      <c r="D25" s="257"/>
      <c r="E25" s="257"/>
      <c r="F25" s="258"/>
      <c r="G25" s="114"/>
      <c r="H25" s="256" t="s">
        <v>353</v>
      </c>
      <c r="I25" s="257"/>
      <c r="J25" s="257"/>
      <c r="K25" s="257"/>
      <c r="L25" s="257"/>
      <c r="M25" s="258"/>
    </row>
    <row r="26" spans="1:13" x14ac:dyDescent="0.25">
      <c r="A26" s="259" t="s">
        <v>355</v>
      </c>
      <c r="B26" s="260"/>
      <c r="C26" s="104" t="s">
        <v>292</v>
      </c>
      <c r="D26" s="104" t="s">
        <v>293</v>
      </c>
      <c r="E26" s="104" t="s">
        <v>294</v>
      </c>
      <c r="F26" s="104" t="s">
        <v>295</v>
      </c>
      <c r="G26" s="109"/>
      <c r="H26" s="259" t="s">
        <v>355</v>
      </c>
      <c r="I26" s="260"/>
      <c r="J26" s="104" t="s">
        <v>292</v>
      </c>
      <c r="K26" s="104" t="s">
        <v>293</v>
      </c>
      <c r="L26" s="104" t="s">
        <v>294</v>
      </c>
      <c r="M26" s="104" t="s">
        <v>295</v>
      </c>
    </row>
    <row r="27" spans="1:13" x14ac:dyDescent="0.25">
      <c r="A27" s="105" t="s">
        <v>276</v>
      </c>
      <c r="B27" s="106" t="s">
        <v>373</v>
      </c>
      <c r="C27" s="107" t="s">
        <v>277</v>
      </c>
      <c r="D27" s="108">
        <f>0.293*1.05</f>
        <v>0.30764999999999998</v>
      </c>
      <c r="E27" s="93">
        <f>'Precios de Mat.'!$B$8</f>
        <v>0</v>
      </c>
      <c r="F27" s="93">
        <f>D27*E27</f>
        <v>0</v>
      </c>
      <c r="G27" s="109"/>
      <c r="H27" s="105" t="s">
        <v>276</v>
      </c>
      <c r="I27" s="106" t="s">
        <v>374</v>
      </c>
      <c r="J27" s="107" t="s">
        <v>277</v>
      </c>
      <c r="K27" s="108">
        <f>0.38*1.05</f>
        <v>0.39900000000000002</v>
      </c>
      <c r="L27" s="93">
        <f>'Precios de Mat.'!$B$8</f>
        <v>0</v>
      </c>
      <c r="M27" s="93">
        <f>K27*L27</f>
        <v>0</v>
      </c>
    </row>
    <row r="28" spans="1:13" x14ac:dyDescent="0.25">
      <c r="A28" s="105" t="s">
        <v>286</v>
      </c>
      <c r="B28" s="83" t="s">
        <v>375</v>
      </c>
      <c r="C28" s="107" t="s">
        <v>300</v>
      </c>
      <c r="D28" s="108">
        <f>0.506*1.1</f>
        <v>0.55660000000000009</v>
      </c>
      <c r="E28" s="93">
        <f>'Precios de Mat.'!$B$15</f>
        <v>0</v>
      </c>
      <c r="F28" s="93">
        <f>D28*E28</f>
        <v>0</v>
      </c>
      <c r="G28" s="109"/>
      <c r="H28" s="105" t="s">
        <v>286</v>
      </c>
      <c r="I28" s="83" t="s">
        <v>376</v>
      </c>
      <c r="J28" s="107" t="s">
        <v>300</v>
      </c>
      <c r="K28" s="108">
        <f>0.5*1.1</f>
        <v>0.55000000000000004</v>
      </c>
      <c r="L28" s="93">
        <f>'Precios de Mat.'!$B$15</f>
        <v>0</v>
      </c>
      <c r="M28" s="93">
        <f>K28*L28</f>
        <v>0</v>
      </c>
    </row>
    <row r="29" spans="1:13" x14ac:dyDescent="0.25">
      <c r="A29" s="105" t="s">
        <v>360</v>
      </c>
      <c r="B29" s="83" t="s">
        <v>377</v>
      </c>
      <c r="C29" s="107" t="s">
        <v>300</v>
      </c>
      <c r="D29" s="108">
        <f>0.613*1.1</f>
        <v>0.67430000000000001</v>
      </c>
      <c r="E29" s="93">
        <f>'Precios de Mat.'!$B$17</f>
        <v>0</v>
      </c>
      <c r="F29" s="93">
        <f>D29*E29</f>
        <v>0</v>
      </c>
      <c r="G29" s="109"/>
      <c r="H29" s="105" t="s">
        <v>360</v>
      </c>
      <c r="I29" s="83" t="s">
        <v>378</v>
      </c>
      <c r="J29" s="107" t="s">
        <v>300</v>
      </c>
      <c r="K29" s="108">
        <f>0.6*1.1</f>
        <v>0.66</v>
      </c>
      <c r="L29" s="93">
        <f>'Precios de Mat.'!$B$17</f>
        <v>0</v>
      </c>
      <c r="M29" s="93">
        <f>K29*L29</f>
        <v>0</v>
      </c>
    </row>
    <row r="30" spans="1:13" x14ac:dyDescent="0.25">
      <c r="A30" s="105" t="s">
        <v>302</v>
      </c>
      <c r="B30" s="83" t="s">
        <v>379</v>
      </c>
      <c r="C30" s="107" t="s">
        <v>300</v>
      </c>
      <c r="D30" s="108">
        <f>0.214*1.2</f>
        <v>0.25679999999999997</v>
      </c>
      <c r="E30" s="93">
        <f>'Precios de Mat.'!$B$16</f>
        <v>0</v>
      </c>
      <c r="F30" s="93">
        <f>D30*E30</f>
        <v>0</v>
      </c>
      <c r="G30" s="109"/>
      <c r="H30" s="105" t="s">
        <v>302</v>
      </c>
      <c r="I30" s="83" t="s">
        <v>380</v>
      </c>
      <c r="J30" s="107" t="s">
        <v>300</v>
      </c>
      <c r="K30" s="108">
        <f>0.198*1.2</f>
        <v>0.23760000000000001</v>
      </c>
      <c r="L30" s="93">
        <f>'Precios de Mat.'!$B$16</f>
        <v>0</v>
      </c>
      <c r="M30" s="93">
        <f>K30*L30</f>
        <v>0</v>
      </c>
    </row>
    <row r="31" spans="1:13" x14ac:dyDescent="0.25">
      <c r="A31" s="105"/>
      <c r="B31" s="110"/>
      <c r="C31" s="107"/>
      <c r="D31" s="111"/>
      <c r="E31" s="93"/>
      <c r="F31" s="93"/>
      <c r="G31" s="109"/>
      <c r="H31" s="105"/>
      <c r="I31" s="110"/>
      <c r="J31" s="107"/>
      <c r="K31" s="111"/>
      <c r="L31" s="93"/>
      <c r="M31" s="93"/>
    </row>
    <row r="32" spans="1:13" x14ac:dyDescent="0.25">
      <c r="A32" s="248" t="s">
        <v>305</v>
      </c>
      <c r="B32" s="249"/>
      <c r="C32" s="249"/>
      <c r="D32" s="249"/>
      <c r="E32" s="250"/>
      <c r="F32" s="93">
        <f>F27+F28+F29+F30+F31</f>
        <v>0</v>
      </c>
      <c r="G32" s="109"/>
      <c r="H32" s="248" t="s">
        <v>305</v>
      </c>
      <c r="I32" s="249"/>
      <c r="J32" s="249"/>
      <c r="K32" s="249"/>
      <c r="L32" s="250"/>
      <c r="M32" s="93">
        <f>M27+M28+M29+M30+M31</f>
        <v>0</v>
      </c>
    </row>
    <row r="33" spans="1:13" x14ac:dyDescent="0.25">
      <c r="A33" s="245" t="s">
        <v>306</v>
      </c>
      <c r="B33" s="246"/>
      <c r="C33" s="246"/>
      <c r="D33" s="246"/>
      <c r="E33" s="246"/>
      <c r="F33" s="247"/>
      <c r="G33" s="109"/>
      <c r="H33" s="245" t="s">
        <v>306</v>
      </c>
      <c r="I33" s="246"/>
      <c r="J33" s="246"/>
      <c r="K33" s="246"/>
      <c r="L33" s="246"/>
      <c r="M33" s="247"/>
    </row>
    <row r="34" spans="1:13" x14ac:dyDescent="0.25">
      <c r="A34" s="243" t="s">
        <v>403</v>
      </c>
      <c r="B34" s="244"/>
      <c r="C34" s="107" t="s">
        <v>69</v>
      </c>
      <c r="D34" s="118">
        <f>1/13</f>
        <v>7.6923076923076927E-2</v>
      </c>
      <c r="E34" s="93">
        <f>Cuadrillas!$E$60</f>
        <v>0</v>
      </c>
      <c r="F34" s="93">
        <f>D34*E34</f>
        <v>0</v>
      </c>
      <c r="G34" s="109"/>
      <c r="H34" s="243" t="s">
        <v>403</v>
      </c>
      <c r="I34" s="244"/>
      <c r="J34" s="107" t="s">
        <v>69</v>
      </c>
      <c r="K34" s="118">
        <f>1/13</f>
        <v>7.6923076923076927E-2</v>
      </c>
      <c r="L34" s="93">
        <f>Cuadrillas!$E$60</f>
        <v>0</v>
      </c>
      <c r="M34" s="93">
        <f>K34*L34</f>
        <v>0</v>
      </c>
    </row>
    <row r="35" spans="1:13" x14ac:dyDescent="0.25">
      <c r="A35" s="112" t="s">
        <v>367</v>
      </c>
      <c r="B35" s="106" t="s">
        <v>368</v>
      </c>
      <c r="C35" s="106" t="s">
        <v>369</v>
      </c>
      <c r="D35" s="118">
        <f>8/13</f>
        <v>0.61538461538461542</v>
      </c>
      <c r="E35" s="93">
        <f>Equipo!$I$77</f>
        <v>20.396480952380951</v>
      </c>
      <c r="F35" s="93">
        <f>D35*E35</f>
        <v>12.551680586080586</v>
      </c>
      <c r="G35" s="113"/>
      <c r="H35" s="112" t="s">
        <v>367</v>
      </c>
      <c r="I35" s="106" t="s">
        <v>368</v>
      </c>
      <c r="J35" s="106" t="s">
        <v>369</v>
      </c>
      <c r="K35" s="118">
        <f>8/13</f>
        <v>0.61538461538461542</v>
      </c>
      <c r="L35" s="93">
        <f>Equipo!$I$77</f>
        <v>20.396480952380951</v>
      </c>
      <c r="M35" s="93">
        <f>K35*L35</f>
        <v>12.551680586080586</v>
      </c>
    </row>
    <row r="36" spans="1:13" x14ac:dyDescent="0.25">
      <c r="A36" s="248" t="s">
        <v>305</v>
      </c>
      <c r="B36" s="249"/>
      <c r="C36" s="249"/>
      <c r="D36" s="249"/>
      <c r="E36" s="250"/>
      <c r="F36" s="93">
        <f>F34+F35</f>
        <v>12.551680586080586</v>
      </c>
      <c r="G36" s="113"/>
      <c r="H36" s="248" t="s">
        <v>305</v>
      </c>
      <c r="I36" s="249"/>
      <c r="J36" s="249"/>
      <c r="K36" s="249"/>
      <c r="L36" s="250"/>
      <c r="M36" s="93">
        <f>M34+M35</f>
        <v>12.551680586080586</v>
      </c>
    </row>
    <row r="37" spans="1:13" x14ac:dyDescent="0.25">
      <c r="A37" s="251" t="s">
        <v>307</v>
      </c>
      <c r="B37" s="252"/>
      <c r="C37" s="249"/>
      <c r="D37" s="249"/>
      <c r="E37" s="250"/>
      <c r="F37" s="93">
        <f>F32+F36</f>
        <v>12.551680586080586</v>
      </c>
      <c r="G37" s="109"/>
      <c r="H37" s="251" t="s">
        <v>307</v>
      </c>
      <c r="I37" s="252"/>
      <c r="J37" s="249"/>
      <c r="K37" s="249"/>
      <c r="L37" s="250"/>
      <c r="M37" s="93">
        <f>M32+M36</f>
        <v>12.551680586080586</v>
      </c>
    </row>
    <row r="38" spans="1:13" x14ac:dyDescent="0.25">
      <c r="A38" s="109"/>
      <c r="B38" s="109"/>
      <c r="C38" s="109"/>
      <c r="D38" s="109"/>
      <c r="E38" s="109"/>
      <c r="F38" s="109"/>
      <c r="G38" s="117"/>
      <c r="H38" s="109"/>
      <c r="I38" s="109"/>
      <c r="J38" s="109"/>
      <c r="K38" s="109"/>
      <c r="L38" s="109"/>
      <c r="M38" s="109"/>
    </row>
    <row r="39" spans="1:13" x14ac:dyDescent="0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</row>
    <row r="40" spans="1:13" x14ac:dyDescent="0.25">
      <c r="A40" s="115"/>
      <c r="B40" s="115"/>
      <c r="C40" s="115"/>
      <c r="D40" s="115"/>
      <c r="E40" s="115"/>
      <c r="F40" s="115"/>
      <c r="G40" s="117"/>
      <c r="H40" s="115"/>
      <c r="I40" s="115"/>
      <c r="J40" s="115"/>
      <c r="K40" s="115"/>
      <c r="L40" s="115"/>
      <c r="M40" s="115"/>
    </row>
    <row r="41" spans="1:13" x14ac:dyDescent="0.25">
      <c r="A41" s="253" t="s">
        <v>381</v>
      </c>
      <c r="B41" s="254"/>
      <c r="C41" s="254"/>
      <c r="D41" s="254"/>
      <c r="E41" s="254"/>
      <c r="F41" s="255"/>
      <c r="G41" s="114"/>
      <c r="H41" s="253" t="s">
        <v>382</v>
      </c>
      <c r="I41" s="254"/>
      <c r="J41" s="254"/>
      <c r="K41" s="254"/>
      <c r="L41" s="254"/>
      <c r="M41" s="255"/>
    </row>
    <row r="42" spans="1:13" x14ac:dyDescent="0.25">
      <c r="A42" s="256" t="s">
        <v>353</v>
      </c>
      <c r="B42" s="257"/>
      <c r="C42" s="257"/>
      <c r="D42" s="257"/>
      <c r="E42" s="257"/>
      <c r="F42" s="258"/>
      <c r="G42" s="114"/>
      <c r="H42" s="256" t="s">
        <v>353</v>
      </c>
      <c r="I42" s="257"/>
      <c r="J42" s="257"/>
      <c r="K42" s="257"/>
      <c r="L42" s="257"/>
      <c r="M42" s="258"/>
    </row>
    <row r="43" spans="1:13" x14ac:dyDescent="0.25">
      <c r="A43" s="259" t="s">
        <v>355</v>
      </c>
      <c r="B43" s="260"/>
      <c r="C43" s="104" t="s">
        <v>292</v>
      </c>
      <c r="D43" s="104" t="s">
        <v>293</v>
      </c>
      <c r="E43" s="104" t="s">
        <v>294</v>
      </c>
      <c r="F43" s="104" t="s">
        <v>295</v>
      </c>
      <c r="G43" s="109"/>
      <c r="H43" s="259" t="s">
        <v>355</v>
      </c>
      <c r="I43" s="260"/>
      <c r="J43" s="104" t="s">
        <v>292</v>
      </c>
      <c r="K43" s="104" t="s">
        <v>293</v>
      </c>
      <c r="L43" s="104" t="s">
        <v>294</v>
      </c>
      <c r="M43" s="104" t="s">
        <v>295</v>
      </c>
    </row>
    <row r="44" spans="1:13" x14ac:dyDescent="0.25">
      <c r="A44" s="105" t="s">
        <v>276</v>
      </c>
      <c r="B44" s="106" t="s">
        <v>383</v>
      </c>
      <c r="C44" s="107" t="s">
        <v>277</v>
      </c>
      <c r="D44" s="108">
        <f>0.318*1.05</f>
        <v>0.33390000000000003</v>
      </c>
      <c r="E44" s="93">
        <f>'Precios de Mat.'!$B$8</f>
        <v>0</v>
      </c>
      <c r="F44" s="93">
        <f>D44*E44</f>
        <v>0</v>
      </c>
      <c r="G44" s="109"/>
      <c r="H44" s="105" t="s">
        <v>276</v>
      </c>
      <c r="I44" s="106" t="s">
        <v>384</v>
      </c>
      <c r="J44" s="107" t="s">
        <v>277</v>
      </c>
      <c r="K44" s="108">
        <f>0.401*1.05</f>
        <v>0.42105000000000004</v>
      </c>
      <c r="L44" s="93">
        <f>'Precios de Mat.'!$B$8</f>
        <v>0</v>
      </c>
      <c r="M44" s="93">
        <f>K44*L44</f>
        <v>0</v>
      </c>
    </row>
    <row r="45" spans="1:13" x14ac:dyDescent="0.25">
      <c r="A45" s="105" t="s">
        <v>286</v>
      </c>
      <c r="B45" s="83" t="s">
        <v>385</v>
      </c>
      <c r="C45" s="107" t="s">
        <v>300</v>
      </c>
      <c r="D45" s="108">
        <f>0.503*1.1</f>
        <v>0.55330000000000001</v>
      </c>
      <c r="E45" s="93">
        <f>'Precios de Mat.'!$B$15</f>
        <v>0</v>
      </c>
      <c r="F45" s="93">
        <f>D45*E45</f>
        <v>0</v>
      </c>
      <c r="G45" s="109"/>
      <c r="H45" s="105" t="s">
        <v>286</v>
      </c>
      <c r="I45" s="83" t="s">
        <v>386</v>
      </c>
      <c r="J45" s="107" t="s">
        <v>300</v>
      </c>
      <c r="K45" s="108">
        <f>0.502*1.1</f>
        <v>0.55220000000000002</v>
      </c>
      <c r="L45" s="93">
        <f>'Precios de Mat.'!$B$15</f>
        <v>0</v>
      </c>
      <c r="M45" s="93">
        <f>K45*L45</f>
        <v>0</v>
      </c>
    </row>
    <row r="46" spans="1:13" x14ac:dyDescent="0.25">
      <c r="A46" s="105" t="s">
        <v>360</v>
      </c>
      <c r="B46" s="83" t="s">
        <v>387</v>
      </c>
      <c r="C46" s="107" t="s">
        <v>300</v>
      </c>
      <c r="D46" s="108">
        <f>0.61*1.1</f>
        <v>0.67100000000000004</v>
      </c>
      <c r="E46" s="93">
        <f>'Precios de Mat.'!$B$17</f>
        <v>0</v>
      </c>
      <c r="F46" s="93">
        <f>D46*E46</f>
        <v>0</v>
      </c>
      <c r="G46" s="109"/>
      <c r="H46" s="105" t="s">
        <v>360</v>
      </c>
      <c r="I46" s="83" t="s">
        <v>388</v>
      </c>
      <c r="J46" s="107" t="s">
        <v>300</v>
      </c>
      <c r="K46" s="108">
        <f>0.598*1.1</f>
        <v>0.65780000000000005</v>
      </c>
      <c r="L46" s="93">
        <f>'Precios de Mat.'!$B$17</f>
        <v>0</v>
      </c>
      <c r="M46" s="93">
        <f>K46*L46</f>
        <v>0</v>
      </c>
    </row>
    <row r="47" spans="1:13" x14ac:dyDescent="0.25">
      <c r="A47" s="105" t="s">
        <v>302</v>
      </c>
      <c r="B47" s="83" t="s">
        <v>389</v>
      </c>
      <c r="C47" s="107" t="s">
        <v>300</v>
      </c>
      <c r="D47" s="108">
        <f>0.211*1.2</f>
        <v>0.25319999999999998</v>
      </c>
      <c r="E47" s="93">
        <f>'Precios de Mat.'!$B$16</f>
        <v>0</v>
      </c>
      <c r="F47" s="93">
        <f>D47*E47</f>
        <v>0</v>
      </c>
      <c r="G47" s="109"/>
      <c r="H47" s="105" t="s">
        <v>302</v>
      </c>
      <c r="I47" s="83" t="s">
        <v>390</v>
      </c>
      <c r="J47" s="107" t="s">
        <v>300</v>
      </c>
      <c r="K47" s="108">
        <f>0.195*1.2</f>
        <v>0.23399999999999999</v>
      </c>
      <c r="L47" s="93">
        <f>'Precios de Mat.'!$B$16</f>
        <v>0</v>
      </c>
      <c r="M47" s="93">
        <f>K47*L47</f>
        <v>0</v>
      </c>
    </row>
    <row r="48" spans="1:13" x14ac:dyDescent="0.25">
      <c r="A48" s="105"/>
      <c r="B48" s="110"/>
      <c r="C48" s="107"/>
      <c r="D48" s="111"/>
      <c r="E48" s="93"/>
      <c r="F48" s="93"/>
      <c r="G48" s="109"/>
      <c r="H48" s="105"/>
      <c r="I48" s="110"/>
      <c r="J48" s="107"/>
      <c r="K48" s="111"/>
      <c r="L48" s="93"/>
      <c r="M48" s="93"/>
    </row>
    <row r="49" spans="1:13" x14ac:dyDescent="0.25">
      <c r="A49" s="248" t="s">
        <v>305</v>
      </c>
      <c r="B49" s="249"/>
      <c r="C49" s="249"/>
      <c r="D49" s="249"/>
      <c r="E49" s="250"/>
      <c r="F49" s="93">
        <f>F44+F45+F46+F47+F48</f>
        <v>0</v>
      </c>
      <c r="G49" s="109"/>
      <c r="H49" s="248" t="s">
        <v>305</v>
      </c>
      <c r="I49" s="249"/>
      <c r="J49" s="249"/>
      <c r="K49" s="249"/>
      <c r="L49" s="250"/>
      <c r="M49" s="93">
        <f>M44+M45+M46+M47+M48</f>
        <v>0</v>
      </c>
    </row>
    <row r="50" spans="1:13" x14ac:dyDescent="0.25">
      <c r="A50" s="245" t="s">
        <v>306</v>
      </c>
      <c r="B50" s="246"/>
      <c r="C50" s="246"/>
      <c r="D50" s="246"/>
      <c r="E50" s="246"/>
      <c r="F50" s="247"/>
      <c r="G50" s="109"/>
      <c r="H50" s="245" t="s">
        <v>306</v>
      </c>
      <c r="I50" s="246"/>
      <c r="J50" s="246"/>
      <c r="K50" s="246"/>
      <c r="L50" s="246"/>
      <c r="M50" s="247"/>
    </row>
    <row r="51" spans="1:13" x14ac:dyDescent="0.25">
      <c r="A51" s="243" t="s">
        <v>403</v>
      </c>
      <c r="B51" s="244"/>
      <c r="C51" s="107" t="s">
        <v>69</v>
      </c>
      <c r="D51" s="118">
        <f>1/13</f>
        <v>7.6923076923076927E-2</v>
      </c>
      <c r="E51" s="93">
        <f>Cuadrillas!$E$60</f>
        <v>0</v>
      </c>
      <c r="F51" s="93">
        <f>D51*E51</f>
        <v>0</v>
      </c>
      <c r="G51" s="109"/>
      <c r="H51" s="243" t="s">
        <v>403</v>
      </c>
      <c r="I51" s="244"/>
      <c r="J51" s="107" t="s">
        <v>69</v>
      </c>
      <c r="K51" s="118">
        <f>1/13</f>
        <v>7.6923076923076927E-2</v>
      </c>
      <c r="L51" s="93">
        <f>Cuadrillas!$E$60</f>
        <v>0</v>
      </c>
      <c r="M51" s="93">
        <f>K51*L51</f>
        <v>0</v>
      </c>
    </row>
    <row r="52" spans="1:13" x14ac:dyDescent="0.25">
      <c r="A52" s="112" t="s">
        <v>367</v>
      </c>
      <c r="B52" s="106" t="s">
        <v>368</v>
      </c>
      <c r="C52" s="106" t="s">
        <v>369</v>
      </c>
      <c r="D52" s="118">
        <f>8/13</f>
        <v>0.61538461538461542</v>
      </c>
      <c r="E52" s="93">
        <f>Equipo!$I$77</f>
        <v>20.396480952380951</v>
      </c>
      <c r="F52" s="93">
        <f>D52*E52</f>
        <v>12.551680586080586</v>
      </c>
      <c r="G52" s="113"/>
      <c r="H52" s="112" t="s">
        <v>367</v>
      </c>
      <c r="I52" s="106" t="s">
        <v>368</v>
      </c>
      <c r="J52" s="106" t="s">
        <v>369</v>
      </c>
      <c r="K52" s="118">
        <f>8/13</f>
        <v>0.61538461538461542</v>
      </c>
      <c r="L52" s="93">
        <f>Equipo!$I$77</f>
        <v>20.396480952380951</v>
      </c>
      <c r="M52" s="93">
        <f>K52*L52</f>
        <v>12.551680586080586</v>
      </c>
    </row>
    <row r="53" spans="1:13" x14ac:dyDescent="0.25">
      <c r="A53" s="248" t="s">
        <v>305</v>
      </c>
      <c r="B53" s="249"/>
      <c r="C53" s="249"/>
      <c r="D53" s="249"/>
      <c r="E53" s="250"/>
      <c r="F53" s="93">
        <f>F51+F52</f>
        <v>12.551680586080586</v>
      </c>
      <c r="G53" s="113"/>
      <c r="H53" s="248" t="s">
        <v>305</v>
      </c>
      <c r="I53" s="249"/>
      <c r="J53" s="249"/>
      <c r="K53" s="249"/>
      <c r="L53" s="250"/>
      <c r="M53" s="93">
        <f>M51+M52</f>
        <v>12.551680586080586</v>
      </c>
    </row>
    <row r="54" spans="1:13" x14ac:dyDescent="0.25">
      <c r="A54" s="251" t="s">
        <v>307</v>
      </c>
      <c r="B54" s="252"/>
      <c r="C54" s="249"/>
      <c r="D54" s="249"/>
      <c r="E54" s="250"/>
      <c r="F54" s="93">
        <f>F49+F53</f>
        <v>12.551680586080586</v>
      </c>
      <c r="G54" s="109"/>
      <c r="H54" s="251" t="s">
        <v>307</v>
      </c>
      <c r="I54" s="252"/>
      <c r="J54" s="249"/>
      <c r="K54" s="249"/>
      <c r="L54" s="250"/>
      <c r="M54" s="93">
        <f>M49+M53</f>
        <v>12.551680586080586</v>
      </c>
    </row>
    <row r="55" spans="1:13" x14ac:dyDescent="0.25">
      <c r="A55" s="109"/>
      <c r="B55" s="109"/>
      <c r="C55" s="109"/>
      <c r="D55" s="109"/>
      <c r="E55" s="109"/>
      <c r="F55" s="109"/>
      <c r="G55" s="117"/>
      <c r="H55" s="109"/>
      <c r="I55" s="109"/>
      <c r="J55" s="109"/>
      <c r="K55" s="109"/>
      <c r="L55" s="109"/>
      <c r="M55" s="109"/>
    </row>
    <row r="56" spans="1:13" x14ac:dyDescent="0.25">
      <c r="A56" s="109"/>
      <c r="B56" s="109"/>
      <c r="C56" s="109"/>
      <c r="D56" s="109"/>
      <c r="E56" s="109"/>
      <c r="F56" s="109"/>
      <c r="G56" s="117"/>
      <c r="H56" s="109"/>
      <c r="I56" s="109"/>
      <c r="J56" s="109"/>
      <c r="K56" s="109"/>
      <c r="L56" s="109"/>
      <c r="M56" s="109"/>
    </row>
    <row r="57" spans="1:13" x14ac:dyDescent="0.25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</row>
    <row r="58" spans="1:13" x14ac:dyDescent="0.25">
      <c r="A58" s="253" t="s">
        <v>391</v>
      </c>
      <c r="B58" s="254"/>
      <c r="C58" s="254"/>
      <c r="D58" s="254"/>
      <c r="E58" s="254"/>
      <c r="F58" s="255"/>
      <c r="G58" s="114"/>
      <c r="H58" s="253" t="s">
        <v>392</v>
      </c>
      <c r="I58" s="254"/>
      <c r="J58" s="254"/>
      <c r="K58" s="254"/>
      <c r="L58" s="254"/>
      <c r="M58" s="255"/>
    </row>
    <row r="59" spans="1:13" x14ac:dyDescent="0.25">
      <c r="A59" s="256" t="s">
        <v>353</v>
      </c>
      <c r="B59" s="257"/>
      <c r="C59" s="257"/>
      <c r="D59" s="257"/>
      <c r="E59" s="257"/>
      <c r="F59" s="258"/>
      <c r="G59" s="114"/>
      <c r="H59" s="256" t="s">
        <v>353</v>
      </c>
      <c r="I59" s="257"/>
      <c r="J59" s="257"/>
      <c r="K59" s="257"/>
      <c r="L59" s="257"/>
      <c r="M59" s="258"/>
    </row>
    <row r="60" spans="1:13" x14ac:dyDescent="0.25">
      <c r="A60" s="259" t="s">
        <v>355</v>
      </c>
      <c r="B60" s="260"/>
      <c r="C60" s="104" t="s">
        <v>292</v>
      </c>
      <c r="D60" s="104" t="s">
        <v>293</v>
      </c>
      <c r="E60" s="104" t="s">
        <v>294</v>
      </c>
      <c r="F60" s="104" t="s">
        <v>295</v>
      </c>
      <c r="G60" s="109"/>
      <c r="H60" s="259" t="s">
        <v>355</v>
      </c>
      <c r="I60" s="260"/>
      <c r="J60" s="104" t="s">
        <v>292</v>
      </c>
      <c r="K60" s="104" t="s">
        <v>293</v>
      </c>
      <c r="L60" s="104" t="s">
        <v>294</v>
      </c>
      <c r="M60" s="104" t="s">
        <v>295</v>
      </c>
    </row>
    <row r="61" spans="1:13" x14ac:dyDescent="0.25">
      <c r="A61" s="105" t="s">
        <v>276</v>
      </c>
      <c r="B61" s="106" t="s">
        <v>393</v>
      </c>
      <c r="C61" s="107" t="s">
        <v>277</v>
      </c>
      <c r="D61" s="108">
        <f>0.338*1.05</f>
        <v>0.35490000000000005</v>
      </c>
      <c r="E61" s="93">
        <f>'Precios de Mat.'!$B$8</f>
        <v>0</v>
      </c>
      <c r="F61" s="93">
        <f>D61*E61</f>
        <v>0</v>
      </c>
      <c r="G61" s="109"/>
      <c r="H61" s="105" t="s">
        <v>276</v>
      </c>
      <c r="I61" s="106" t="s">
        <v>394</v>
      </c>
      <c r="J61" s="107" t="s">
        <v>277</v>
      </c>
      <c r="K61" s="108">
        <f>0.416*1.05</f>
        <v>0.43680000000000002</v>
      </c>
      <c r="L61" s="93">
        <f>'Precios de Mat.'!$B$8</f>
        <v>0</v>
      </c>
      <c r="M61" s="93">
        <f>K61*L61</f>
        <v>0</v>
      </c>
    </row>
    <row r="62" spans="1:13" x14ac:dyDescent="0.25">
      <c r="A62" s="105" t="s">
        <v>286</v>
      </c>
      <c r="B62" s="83" t="s">
        <v>376</v>
      </c>
      <c r="C62" s="107" t="s">
        <v>300</v>
      </c>
      <c r="D62" s="108">
        <f>0.5*1.1</f>
        <v>0.55000000000000004</v>
      </c>
      <c r="E62" s="93">
        <f>'Precios de Mat.'!$B$15</f>
        <v>0</v>
      </c>
      <c r="F62" s="93">
        <f>D62*E62</f>
        <v>0</v>
      </c>
      <c r="G62" s="109"/>
      <c r="H62" s="105" t="s">
        <v>286</v>
      </c>
      <c r="I62" s="83" t="s">
        <v>395</v>
      </c>
      <c r="J62" s="107" t="s">
        <v>300</v>
      </c>
      <c r="K62" s="108">
        <f>0.504*1.1</f>
        <v>0.5544</v>
      </c>
      <c r="L62" s="93">
        <f>'Precios de Mat.'!$B$15</f>
        <v>0</v>
      </c>
      <c r="M62" s="93">
        <f>K62*L62</f>
        <v>0</v>
      </c>
    </row>
    <row r="63" spans="1:13" x14ac:dyDescent="0.25">
      <c r="A63" s="105" t="s">
        <v>360</v>
      </c>
      <c r="B63" s="83" t="s">
        <v>396</v>
      </c>
      <c r="C63" s="107" t="s">
        <v>300</v>
      </c>
      <c r="D63" s="108">
        <f>0.606*1.1</f>
        <v>0.66660000000000008</v>
      </c>
      <c r="E63" s="93">
        <f>'Precios de Mat.'!$B$17</f>
        <v>0</v>
      </c>
      <c r="F63" s="93">
        <f>D63*E63</f>
        <v>0</v>
      </c>
      <c r="G63" s="109"/>
      <c r="H63" s="105" t="s">
        <v>360</v>
      </c>
      <c r="I63" s="83" t="s">
        <v>396</v>
      </c>
      <c r="J63" s="107" t="s">
        <v>300</v>
      </c>
      <c r="K63" s="108">
        <f>0.606*1.1</f>
        <v>0.66660000000000008</v>
      </c>
      <c r="L63" s="93">
        <f>'Precios de Mat.'!$B$17</f>
        <v>0</v>
      </c>
      <c r="M63" s="93">
        <f>K63*L63</f>
        <v>0</v>
      </c>
    </row>
    <row r="64" spans="1:13" x14ac:dyDescent="0.25">
      <c r="A64" s="105" t="s">
        <v>302</v>
      </c>
      <c r="B64" s="83" t="s">
        <v>397</v>
      </c>
      <c r="C64" s="107" t="s">
        <v>300</v>
      </c>
      <c r="D64" s="108">
        <f>0.206*1.2</f>
        <v>0.24719999999999998</v>
      </c>
      <c r="E64" s="93">
        <f>'Precios de Mat.'!$B$16</f>
        <v>0</v>
      </c>
      <c r="F64" s="93">
        <f>D64*E64</f>
        <v>0</v>
      </c>
      <c r="G64" s="109"/>
      <c r="H64" s="105" t="s">
        <v>302</v>
      </c>
      <c r="I64" s="83" t="s">
        <v>390</v>
      </c>
      <c r="J64" s="107" t="s">
        <v>300</v>
      </c>
      <c r="K64" s="108">
        <f>0.195*1.2</f>
        <v>0.23399999999999999</v>
      </c>
      <c r="L64" s="93">
        <f>'Precios de Mat.'!$B$16</f>
        <v>0</v>
      </c>
      <c r="M64" s="93">
        <f>K64*L64</f>
        <v>0</v>
      </c>
    </row>
    <row r="65" spans="1:13" x14ac:dyDescent="0.25">
      <c r="A65" s="105"/>
      <c r="B65" s="110"/>
      <c r="C65" s="107"/>
      <c r="D65" s="111"/>
      <c r="E65" s="93"/>
      <c r="F65" s="93"/>
      <c r="G65" s="109"/>
      <c r="H65" s="105"/>
      <c r="I65" s="110"/>
      <c r="J65" s="107"/>
      <c r="K65" s="111"/>
      <c r="L65" s="93"/>
      <c r="M65" s="93"/>
    </row>
    <row r="66" spans="1:13" x14ac:dyDescent="0.25">
      <c r="A66" s="248" t="s">
        <v>305</v>
      </c>
      <c r="B66" s="249"/>
      <c r="C66" s="249"/>
      <c r="D66" s="249"/>
      <c r="E66" s="250"/>
      <c r="F66" s="93">
        <f>F61+F62+F63+F64+F65</f>
        <v>0</v>
      </c>
      <c r="G66" s="109"/>
      <c r="H66" s="248" t="s">
        <v>305</v>
      </c>
      <c r="I66" s="249"/>
      <c r="J66" s="249"/>
      <c r="K66" s="249"/>
      <c r="L66" s="250"/>
      <c r="M66" s="93">
        <f>M61+M62+M63+M64+M65</f>
        <v>0</v>
      </c>
    </row>
    <row r="67" spans="1:13" x14ac:dyDescent="0.25">
      <c r="A67" s="245" t="s">
        <v>306</v>
      </c>
      <c r="B67" s="246"/>
      <c r="C67" s="246"/>
      <c r="D67" s="246"/>
      <c r="E67" s="246"/>
      <c r="F67" s="247"/>
      <c r="G67" s="109"/>
      <c r="H67" s="245" t="s">
        <v>306</v>
      </c>
      <c r="I67" s="246"/>
      <c r="J67" s="246"/>
      <c r="K67" s="246"/>
      <c r="L67" s="246"/>
      <c r="M67" s="247"/>
    </row>
    <row r="68" spans="1:13" x14ac:dyDescent="0.25">
      <c r="A68" s="243" t="s">
        <v>403</v>
      </c>
      <c r="B68" s="244"/>
      <c r="C68" s="107" t="s">
        <v>69</v>
      </c>
      <c r="D68" s="118">
        <f>1/13</f>
        <v>7.6923076923076927E-2</v>
      </c>
      <c r="E68" s="93">
        <f>Cuadrillas!$E$60</f>
        <v>0</v>
      </c>
      <c r="F68" s="93">
        <f>D68*E68</f>
        <v>0</v>
      </c>
      <c r="G68" s="109"/>
      <c r="H68" s="243" t="s">
        <v>403</v>
      </c>
      <c r="I68" s="244"/>
      <c r="J68" s="107" t="s">
        <v>69</v>
      </c>
      <c r="K68" s="118">
        <f>1/13</f>
        <v>7.6923076923076927E-2</v>
      </c>
      <c r="L68" s="93">
        <f>Cuadrillas!$E$60</f>
        <v>0</v>
      </c>
      <c r="M68" s="93">
        <f>K68*L68</f>
        <v>0</v>
      </c>
    </row>
    <row r="69" spans="1:13" x14ac:dyDescent="0.25">
      <c r="A69" s="112" t="s">
        <v>367</v>
      </c>
      <c r="B69" s="106" t="s">
        <v>368</v>
      </c>
      <c r="C69" s="106" t="s">
        <v>369</v>
      </c>
      <c r="D69" s="118">
        <f>8/13</f>
        <v>0.61538461538461542</v>
      </c>
      <c r="E69" s="93">
        <f>Equipo!$I$77</f>
        <v>20.396480952380951</v>
      </c>
      <c r="F69" s="93">
        <f>D69*E69</f>
        <v>12.551680586080586</v>
      </c>
      <c r="G69" s="113"/>
      <c r="H69" s="112" t="s">
        <v>367</v>
      </c>
      <c r="I69" s="106" t="s">
        <v>368</v>
      </c>
      <c r="J69" s="106" t="s">
        <v>369</v>
      </c>
      <c r="K69" s="118">
        <f>8/13</f>
        <v>0.61538461538461542</v>
      </c>
      <c r="L69" s="93">
        <f>Equipo!$I$77</f>
        <v>20.396480952380951</v>
      </c>
      <c r="M69" s="93">
        <f>K69*L69</f>
        <v>12.551680586080586</v>
      </c>
    </row>
    <row r="70" spans="1:13" x14ac:dyDescent="0.25">
      <c r="A70" s="248" t="s">
        <v>305</v>
      </c>
      <c r="B70" s="249"/>
      <c r="C70" s="249"/>
      <c r="D70" s="249"/>
      <c r="E70" s="250"/>
      <c r="F70" s="93">
        <f>F68+F69</f>
        <v>12.551680586080586</v>
      </c>
      <c r="G70" s="113"/>
      <c r="H70" s="248" t="s">
        <v>305</v>
      </c>
      <c r="I70" s="249"/>
      <c r="J70" s="249"/>
      <c r="K70" s="249"/>
      <c r="L70" s="250"/>
      <c r="M70" s="93">
        <f>M68+M69</f>
        <v>12.551680586080586</v>
      </c>
    </row>
    <row r="71" spans="1:13" x14ac:dyDescent="0.25">
      <c r="A71" s="251" t="s">
        <v>307</v>
      </c>
      <c r="B71" s="252"/>
      <c r="C71" s="249"/>
      <c r="D71" s="249"/>
      <c r="E71" s="250"/>
      <c r="F71" s="93">
        <f>F66+F70</f>
        <v>12.551680586080586</v>
      </c>
      <c r="G71" s="109"/>
      <c r="H71" s="251" t="s">
        <v>307</v>
      </c>
      <c r="I71" s="252"/>
      <c r="J71" s="249"/>
      <c r="K71" s="249"/>
      <c r="L71" s="250"/>
      <c r="M71" s="93">
        <f>M66+M70</f>
        <v>12.551680586080586</v>
      </c>
    </row>
    <row r="72" spans="1:13" x14ac:dyDescent="0.25">
      <c r="A72" s="117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</row>
    <row r="73" spans="1:13" x14ac:dyDescent="0.25">
      <c r="A73" s="117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</row>
    <row r="74" spans="1:13" x14ac:dyDescent="0.25">
      <c r="A74" s="117"/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</row>
    <row r="75" spans="1:13" x14ac:dyDescent="0.25">
      <c r="A75" s="253" t="s">
        <v>398</v>
      </c>
      <c r="B75" s="254"/>
      <c r="C75" s="254"/>
      <c r="D75" s="254"/>
      <c r="E75" s="254"/>
      <c r="F75" s="255"/>
      <c r="G75" s="117"/>
      <c r="H75" s="117"/>
      <c r="I75" s="117"/>
      <c r="J75" s="117"/>
      <c r="K75" s="117"/>
      <c r="L75" s="117"/>
      <c r="M75" s="117"/>
    </row>
    <row r="76" spans="1:13" x14ac:dyDescent="0.25">
      <c r="A76" s="256" t="s">
        <v>353</v>
      </c>
      <c r="B76" s="257"/>
      <c r="C76" s="257"/>
      <c r="D76" s="257"/>
      <c r="E76" s="257"/>
      <c r="F76" s="258"/>
      <c r="G76" s="117"/>
      <c r="H76" s="117"/>
      <c r="I76" s="117"/>
      <c r="J76" s="117"/>
      <c r="K76" s="117"/>
      <c r="L76" s="117"/>
      <c r="M76" s="117"/>
    </row>
    <row r="77" spans="1:13" x14ac:dyDescent="0.25">
      <c r="A77" s="259" t="s">
        <v>355</v>
      </c>
      <c r="B77" s="260"/>
      <c r="C77" s="104" t="s">
        <v>292</v>
      </c>
      <c r="D77" s="104" t="s">
        <v>293</v>
      </c>
      <c r="E77" s="104" t="s">
        <v>294</v>
      </c>
      <c r="F77" s="104" t="s">
        <v>295</v>
      </c>
      <c r="G77" s="117"/>
      <c r="H77" s="117"/>
      <c r="I77" s="117"/>
      <c r="J77" s="117"/>
      <c r="K77" s="117"/>
      <c r="L77" s="117"/>
      <c r="M77" s="117"/>
    </row>
    <row r="78" spans="1:13" x14ac:dyDescent="0.25">
      <c r="A78" s="105" t="s">
        <v>276</v>
      </c>
      <c r="B78" s="106" t="s">
        <v>399</v>
      </c>
      <c r="C78" s="107" t="s">
        <v>277</v>
      </c>
      <c r="D78" s="108">
        <f>0.431*1.05</f>
        <v>0.45255000000000001</v>
      </c>
      <c r="E78" s="93">
        <f>'Precios de Mat.'!$B$8</f>
        <v>0</v>
      </c>
      <c r="F78" s="93">
        <f>D78*E78</f>
        <v>0</v>
      </c>
      <c r="G78" s="117"/>
      <c r="H78" s="117"/>
      <c r="I78" s="117"/>
      <c r="J78" s="117"/>
      <c r="K78" s="117"/>
      <c r="L78" s="117"/>
      <c r="M78" s="117"/>
    </row>
    <row r="79" spans="1:13" x14ac:dyDescent="0.25">
      <c r="A79" s="105" t="s">
        <v>286</v>
      </c>
      <c r="B79" s="83" t="s">
        <v>400</v>
      </c>
      <c r="C79" s="107" t="s">
        <v>300</v>
      </c>
      <c r="D79" s="108">
        <f>0.507*1.1</f>
        <v>0.55770000000000008</v>
      </c>
      <c r="E79" s="93">
        <f>'Precios de Mat.'!$B$15</f>
        <v>0</v>
      </c>
      <c r="F79" s="93">
        <f>D79*E79</f>
        <v>0</v>
      </c>
      <c r="G79" s="117"/>
      <c r="H79" s="117"/>
      <c r="I79" s="117"/>
      <c r="J79" s="117"/>
      <c r="K79" s="117"/>
      <c r="L79" s="117"/>
      <c r="M79" s="117"/>
    </row>
    <row r="80" spans="1:13" x14ac:dyDescent="0.25">
      <c r="A80" s="105" t="s">
        <v>360</v>
      </c>
      <c r="B80" s="83" t="s">
        <v>401</v>
      </c>
      <c r="C80" s="107" t="s">
        <v>300</v>
      </c>
      <c r="D80" s="108">
        <f>0.614*1.1</f>
        <v>0.6754</v>
      </c>
      <c r="E80" s="93">
        <f>'Precios de Mat.'!$B$17</f>
        <v>0</v>
      </c>
      <c r="F80" s="93">
        <f>D80*E80</f>
        <v>0</v>
      </c>
      <c r="G80" s="117"/>
      <c r="H80" s="117"/>
      <c r="I80" s="117"/>
      <c r="J80" s="117"/>
      <c r="K80" s="117"/>
      <c r="L80" s="117"/>
      <c r="M80" s="117"/>
    </row>
    <row r="81" spans="1:13" x14ac:dyDescent="0.25">
      <c r="A81" s="105" t="s">
        <v>302</v>
      </c>
      <c r="B81" s="83" t="s">
        <v>402</v>
      </c>
      <c r="C81" s="107" t="s">
        <v>300</v>
      </c>
      <c r="D81" s="108">
        <f>0.196*1.2</f>
        <v>0.23519999999999999</v>
      </c>
      <c r="E81" s="93">
        <f>'Precios de Mat.'!$B$16</f>
        <v>0</v>
      </c>
      <c r="F81" s="93">
        <f>D81*E81</f>
        <v>0</v>
      </c>
      <c r="G81" s="117"/>
      <c r="H81" s="117"/>
      <c r="I81" s="117"/>
      <c r="J81" s="117"/>
      <c r="K81" s="117"/>
      <c r="L81" s="117"/>
      <c r="M81" s="117"/>
    </row>
    <row r="82" spans="1:13" x14ac:dyDescent="0.25">
      <c r="A82" s="105"/>
      <c r="B82" s="110"/>
      <c r="C82" s="107"/>
      <c r="D82" s="111"/>
      <c r="E82" s="93"/>
      <c r="F82" s="93"/>
      <c r="G82" s="117"/>
      <c r="H82" s="117"/>
      <c r="I82" s="117"/>
      <c r="J82" s="117"/>
      <c r="K82" s="117"/>
      <c r="L82" s="117"/>
      <c r="M82" s="117"/>
    </row>
    <row r="83" spans="1:13" x14ac:dyDescent="0.25">
      <c r="A83" s="248" t="s">
        <v>305</v>
      </c>
      <c r="B83" s="249"/>
      <c r="C83" s="249"/>
      <c r="D83" s="249"/>
      <c r="E83" s="250"/>
      <c r="F83" s="93">
        <f>F78+F79+F80+F81+F82</f>
        <v>0</v>
      </c>
      <c r="G83" s="117"/>
      <c r="H83" s="117"/>
      <c r="I83" s="117"/>
      <c r="J83" s="117"/>
      <c r="K83" s="117"/>
      <c r="L83" s="117"/>
      <c r="M83" s="117"/>
    </row>
    <row r="84" spans="1:13" x14ac:dyDescent="0.25">
      <c r="A84" s="245" t="s">
        <v>306</v>
      </c>
      <c r="B84" s="246"/>
      <c r="C84" s="246"/>
      <c r="D84" s="246"/>
      <c r="E84" s="246"/>
      <c r="F84" s="247"/>
      <c r="G84" s="117"/>
      <c r="H84" s="117"/>
      <c r="I84" s="117"/>
      <c r="J84" s="117"/>
      <c r="K84" s="117"/>
      <c r="L84" s="117"/>
      <c r="M84" s="117"/>
    </row>
    <row r="85" spans="1:13" x14ac:dyDescent="0.25">
      <c r="A85" s="243" t="s">
        <v>403</v>
      </c>
      <c r="B85" s="244"/>
      <c r="C85" s="107" t="s">
        <v>69</v>
      </c>
      <c r="D85" s="118">
        <f>1/13</f>
        <v>7.6923076923076927E-2</v>
      </c>
      <c r="E85" s="93">
        <f>Cuadrillas!$E$60</f>
        <v>0</v>
      </c>
      <c r="F85" s="93">
        <f>D85*E85</f>
        <v>0</v>
      </c>
      <c r="G85" s="117"/>
      <c r="H85" s="117"/>
      <c r="I85" s="117"/>
      <c r="J85" s="117"/>
      <c r="K85" s="117"/>
      <c r="L85" s="117"/>
      <c r="M85" s="117"/>
    </row>
    <row r="86" spans="1:13" x14ac:dyDescent="0.25">
      <c r="A86" s="112" t="s">
        <v>367</v>
      </c>
      <c r="B86" s="106" t="s">
        <v>368</v>
      </c>
      <c r="C86" s="106" t="s">
        <v>369</v>
      </c>
      <c r="D86" s="118">
        <f>8/13</f>
        <v>0.61538461538461542</v>
      </c>
      <c r="E86" s="93">
        <f>Equipo!$I$77</f>
        <v>20.396480952380951</v>
      </c>
      <c r="F86" s="93">
        <f>D86*E86</f>
        <v>12.551680586080586</v>
      </c>
      <c r="G86" s="117"/>
      <c r="H86" s="117"/>
      <c r="I86" s="117"/>
      <c r="J86" s="117"/>
      <c r="K86" s="117"/>
      <c r="L86" s="117"/>
      <c r="M86" s="117"/>
    </row>
    <row r="87" spans="1:13" x14ac:dyDescent="0.25">
      <c r="A87" s="248" t="s">
        <v>305</v>
      </c>
      <c r="B87" s="249"/>
      <c r="C87" s="249"/>
      <c r="D87" s="249"/>
      <c r="E87" s="250"/>
      <c r="F87" s="93">
        <f>F85+F86</f>
        <v>12.551680586080586</v>
      </c>
      <c r="G87" s="117"/>
      <c r="H87" s="117"/>
      <c r="I87" s="117"/>
      <c r="J87" s="117"/>
      <c r="K87" s="117"/>
      <c r="L87" s="117"/>
      <c r="M87" s="117"/>
    </row>
    <row r="88" spans="1:13" x14ac:dyDescent="0.25">
      <c r="A88" s="251" t="s">
        <v>307</v>
      </c>
      <c r="B88" s="252"/>
      <c r="C88" s="249"/>
      <c r="D88" s="249"/>
      <c r="E88" s="250"/>
      <c r="F88" s="93">
        <f>F83+F87</f>
        <v>12.551680586080586</v>
      </c>
      <c r="G88" s="117"/>
      <c r="H88" s="117"/>
      <c r="I88" s="117"/>
      <c r="J88" s="117"/>
      <c r="K88" s="117"/>
      <c r="L88" s="117"/>
      <c r="M88" s="117"/>
    </row>
    <row r="89" spans="1:13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</sheetData>
  <mergeCells count="76">
    <mergeCell ref="A7:F7"/>
    <mergeCell ref="H7:M7"/>
    <mergeCell ref="A8:F8"/>
    <mergeCell ref="H8:M8"/>
    <mergeCell ref="A9:B9"/>
    <mergeCell ref="H9:I9"/>
    <mergeCell ref="A15:E15"/>
    <mergeCell ref="H15:L15"/>
    <mergeCell ref="A16:F16"/>
    <mergeCell ref="H16:M16"/>
    <mergeCell ref="A19:E19"/>
    <mergeCell ref="H19:L19"/>
    <mergeCell ref="H17:I17"/>
    <mergeCell ref="A20:E20"/>
    <mergeCell ref="H20:L20"/>
    <mergeCell ref="A24:F24"/>
    <mergeCell ref="H24:M24"/>
    <mergeCell ref="A25:F25"/>
    <mergeCell ref="H25:M25"/>
    <mergeCell ref="H37:L37"/>
    <mergeCell ref="A41:F41"/>
    <mergeCell ref="H41:M41"/>
    <mergeCell ref="A26:B26"/>
    <mergeCell ref="H26:I26"/>
    <mergeCell ref="A32:E32"/>
    <mergeCell ref="H32:L32"/>
    <mergeCell ref="A33:F33"/>
    <mergeCell ref="H33:M33"/>
    <mergeCell ref="A87:E87"/>
    <mergeCell ref="A88:E88"/>
    <mergeCell ref="A17:B17"/>
    <mergeCell ref="A68:B68"/>
    <mergeCell ref="A75:F75"/>
    <mergeCell ref="A76:F76"/>
    <mergeCell ref="A77:B77"/>
    <mergeCell ref="A83:E83"/>
    <mergeCell ref="A70:E70"/>
    <mergeCell ref="A71:E71"/>
    <mergeCell ref="A58:F58"/>
    <mergeCell ref="A67:F67"/>
    <mergeCell ref="A59:F59"/>
    <mergeCell ref="A60:B60"/>
    <mergeCell ref="A50:F50"/>
    <mergeCell ref="A53:E53"/>
    <mergeCell ref="A85:B85"/>
    <mergeCell ref="H34:I34"/>
    <mergeCell ref="A34:B34"/>
    <mergeCell ref="A51:B51"/>
    <mergeCell ref="H51:I51"/>
    <mergeCell ref="A84:F84"/>
    <mergeCell ref="H70:L70"/>
    <mergeCell ref="H71:L71"/>
    <mergeCell ref="A66:E66"/>
    <mergeCell ref="H58:M58"/>
    <mergeCell ref="H66:L66"/>
    <mergeCell ref="H67:M67"/>
    <mergeCell ref="H59:M59"/>
    <mergeCell ref="H60:I60"/>
    <mergeCell ref="H50:M50"/>
    <mergeCell ref="H53:L53"/>
    <mergeCell ref="E1:M1"/>
    <mergeCell ref="E2:M2"/>
    <mergeCell ref="E3:M3"/>
    <mergeCell ref="E4:M4"/>
    <mergeCell ref="H68:I68"/>
    <mergeCell ref="A54:E54"/>
    <mergeCell ref="H54:L54"/>
    <mergeCell ref="A42:F42"/>
    <mergeCell ref="H42:M42"/>
    <mergeCell ref="A43:B43"/>
    <mergeCell ref="H43:I43"/>
    <mergeCell ref="A49:E49"/>
    <mergeCell ref="H49:L49"/>
    <mergeCell ref="A36:E36"/>
    <mergeCell ref="H36:L36"/>
    <mergeCell ref="A37:E37"/>
  </mergeCells>
  <phoneticPr fontId="0" type="noConversion"/>
  <pageMargins left="0.75" right="0.75" top="0.28000000000000003" bottom="1" header="0" footer="0"/>
  <pageSetup scale="70" orientation="portrait" horizontalDpi="4294967293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M89"/>
  <sheetViews>
    <sheetView zoomScaleNormal="100" workbookViewId="0">
      <selection activeCell="D5" sqref="D5"/>
    </sheetView>
  </sheetViews>
  <sheetFormatPr baseColWidth="10" defaultRowHeight="13.2" x14ac:dyDescent="0.25"/>
  <cols>
    <col min="7" max="7" width="4.5546875" customWidth="1"/>
  </cols>
  <sheetData>
    <row r="1" spans="1:13" ht="23.4" x14ac:dyDescent="0.25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x14ac:dyDescent="0.25">
      <c r="A3" s="200" t="s">
        <v>562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6" spans="1:13" x14ac:dyDescent="0.25">
      <c r="A6" s="120"/>
      <c r="B6" s="120"/>
      <c r="C6" s="120"/>
      <c r="D6" s="120"/>
      <c r="E6" s="120"/>
      <c r="F6" s="120"/>
      <c r="G6" s="121"/>
      <c r="H6" s="120"/>
      <c r="I6" s="120"/>
      <c r="J6" s="120"/>
      <c r="K6" s="120"/>
      <c r="L6" s="120"/>
      <c r="M6" s="120"/>
    </row>
    <row r="7" spans="1:13" x14ac:dyDescent="0.25">
      <c r="A7" s="261" t="s">
        <v>412</v>
      </c>
      <c r="B7" s="262"/>
      <c r="C7" s="262"/>
      <c r="D7" s="262"/>
      <c r="E7" s="262"/>
      <c r="F7" s="263"/>
      <c r="G7" s="72"/>
      <c r="H7" s="261" t="s">
        <v>413</v>
      </c>
      <c r="I7" s="262"/>
      <c r="J7" s="262"/>
      <c r="K7" s="262"/>
      <c r="L7" s="262"/>
      <c r="M7" s="263"/>
    </row>
    <row r="8" spans="1:13" x14ac:dyDescent="0.25">
      <c r="A8" s="256" t="s">
        <v>353</v>
      </c>
      <c r="B8" s="257"/>
      <c r="C8" s="257"/>
      <c r="D8" s="257"/>
      <c r="E8" s="257"/>
      <c r="F8" s="258"/>
      <c r="G8" s="72"/>
      <c r="H8" s="256" t="s">
        <v>354</v>
      </c>
      <c r="I8" s="257"/>
      <c r="J8" s="257"/>
      <c r="K8" s="257"/>
      <c r="L8" s="257"/>
      <c r="M8" s="258"/>
    </row>
    <row r="9" spans="1:13" x14ac:dyDescent="0.25">
      <c r="A9" s="259" t="s">
        <v>355</v>
      </c>
      <c r="B9" s="260"/>
      <c r="C9" s="104" t="s">
        <v>292</v>
      </c>
      <c r="D9" s="104" t="s">
        <v>293</v>
      </c>
      <c r="E9" s="104" t="s">
        <v>294</v>
      </c>
      <c r="F9" s="104" t="s">
        <v>295</v>
      </c>
      <c r="G9" s="88"/>
      <c r="H9" s="259" t="s">
        <v>355</v>
      </c>
      <c r="I9" s="260"/>
      <c r="J9" s="104" t="s">
        <v>292</v>
      </c>
      <c r="K9" s="104" t="s">
        <v>293</v>
      </c>
      <c r="L9" s="104" t="s">
        <v>294</v>
      </c>
      <c r="M9" s="104" t="s">
        <v>295</v>
      </c>
    </row>
    <row r="10" spans="1:13" x14ac:dyDescent="0.25">
      <c r="A10" s="105" t="s">
        <v>276</v>
      </c>
      <c r="B10" s="106" t="s">
        <v>356</v>
      </c>
      <c r="C10" s="107" t="s">
        <v>277</v>
      </c>
      <c r="D10" s="108">
        <f>0.267*1.05</f>
        <v>0.28035000000000004</v>
      </c>
      <c r="E10" s="93">
        <f>'Precios de Mat.'!$B$8</f>
        <v>0</v>
      </c>
      <c r="F10" s="93">
        <f>D10*E10</f>
        <v>0</v>
      </c>
      <c r="G10" s="109"/>
      <c r="H10" s="105" t="s">
        <v>276</v>
      </c>
      <c r="I10" s="106" t="s">
        <v>357</v>
      </c>
      <c r="J10" s="107" t="s">
        <v>277</v>
      </c>
      <c r="K10" s="108">
        <f>0.359*1.05</f>
        <v>0.37695000000000001</v>
      </c>
      <c r="L10" s="93">
        <f>'Precios de Mat.'!$B$8</f>
        <v>0</v>
      </c>
      <c r="M10" s="93">
        <f>K10*L10</f>
        <v>0</v>
      </c>
    </row>
    <row r="11" spans="1:13" x14ac:dyDescent="0.25">
      <c r="A11" s="105" t="s">
        <v>286</v>
      </c>
      <c r="B11" s="83" t="s">
        <v>358</v>
      </c>
      <c r="C11" s="107" t="s">
        <v>300</v>
      </c>
      <c r="D11" s="108">
        <f>0.509*1.1</f>
        <v>0.55990000000000006</v>
      </c>
      <c r="E11" s="93">
        <f>'Precios de Mat.'!$B$15</f>
        <v>0</v>
      </c>
      <c r="F11" s="93">
        <f>D11*E11</f>
        <v>0</v>
      </c>
      <c r="G11" s="109"/>
      <c r="H11" s="105" t="s">
        <v>286</v>
      </c>
      <c r="I11" s="83" t="s">
        <v>359</v>
      </c>
      <c r="J11" s="107" t="s">
        <v>300</v>
      </c>
      <c r="K11" s="108">
        <f>0.498*1.1</f>
        <v>0.54780000000000006</v>
      </c>
      <c r="L11" s="93">
        <f>'Precios de Mat.'!$B$15</f>
        <v>0</v>
      </c>
      <c r="M11" s="93">
        <f>K11*L11</f>
        <v>0</v>
      </c>
    </row>
    <row r="12" spans="1:13" x14ac:dyDescent="0.25">
      <c r="A12" s="105" t="s">
        <v>360</v>
      </c>
      <c r="B12" s="83" t="s">
        <v>361</v>
      </c>
      <c r="C12" s="107" t="s">
        <v>300</v>
      </c>
      <c r="D12" s="108">
        <f>0.616*1.1</f>
        <v>0.67760000000000009</v>
      </c>
      <c r="E12" s="93">
        <f>'Precios de Mat.'!$B$17</f>
        <v>0</v>
      </c>
      <c r="F12" s="93">
        <f>D12*E12</f>
        <v>0</v>
      </c>
      <c r="G12" s="109"/>
      <c r="H12" s="105" t="s">
        <v>362</v>
      </c>
      <c r="I12" s="83" t="s">
        <v>363</v>
      </c>
      <c r="J12" s="107" t="s">
        <v>300</v>
      </c>
      <c r="K12" s="108">
        <f>0.603*1.1</f>
        <v>0.6633</v>
      </c>
      <c r="L12" s="93">
        <f>'Precios de Mat.'!$B$17</f>
        <v>0</v>
      </c>
      <c r="M12" s="93">
        <f>K12*L12</f>
        <v>0</v>
      </c>
    </row>
    <row r="13" spans="1:13" x14ac:dyDescent="0.25">
      <c r="A13" s="105" t="s">
        <v>302</v>
      </c>
      <c r="B13" s="83" t="s">
        <v>364</v>
      </c>
      <c r="C13" s="107" t="s">
        <v>300</v>
      </c>
      <c r="D13" s="108">
        <f>0.217*1.2</f>
        <v>0.26039999999999996</v>
      </c>
      <c r="E13" s="93">
        <f>'Precios de Mat.'!$B$16</f>
        <v>0</v>
      </c>
      <c r="F13" s="93">
        <f>D13*E13</f>
        <v>0</v>
      </c>
      <c r="G13" s="109"/>
      <c r="H13" s="105" t="s">
        <v>287</v>
      </c>
      <c r="I13" s="83" t="s">
        <v>365</v>
      </c>
      <c r="J13" s="107" t="s">
        <v>300</v>
      </c>
      <c r="K13" s="108">
        <f>0.202*1.2</f>
        <v>0.2424</v>
      </c>
      <c r="L13" s="93">
        <f>'Precios de Mat.'!$B$16</f>
        <v>0</v>
      </c>
      <c r="M13" s="93">
        <f>K13*L13</f>
        <v>0</v>
      </c>
    </row>
    <row r="14" spans="1:13" x14ac:dyDescent="0.25">
      <c r="A14" s="105" t="s">
        <v>414</v>
      </c>
      <c r="B14" s="110" t="s">
        <v>415</v>
      </c>
      <c r="C14" s="107" t="s">
        <v>283</v>
      </c>
      <c r="D14" s="111">
        <f>3.204*1.05</f>
        <v>3.3642000000000003</v>
      </c>
      <c r="E14" s="93">
        <f>'Precios de Mat.'!$B$13</f>
        <v>0</v>
      </c>
      <c r="F14" s="93">
        <f>D14*E14</f>
        <v>0</v>
      </c>
      <c r="G14" s="109"/>
      <c r="H14" s="105" t="s">
        <v>414</v>
      </c>
      <c r="I14" s="110" t="s">
        <v>416</v>
      </c>
      <c r="J14" s="107" t="s">
        <v>283</v>
      </c>
      <c r="K14" s="111">
        <f>4.308*1.05</f>
        <v>4.5233999999999996</v>
      </c>
      <c r="L14" s="93">
        <f>'Precios de Mat.'!$B$13</f>
        <v>0</v>
      </c>
      <c r="M14" s="93">
        <f>K14*L14</f>
        <v>0</v>
      </c>
    </row>
    <row r="15" spans="1:13" x14ac:dyDescent="0.25">
      <c r="A15" s="248" t="s">
        <v>305</v>
      </c>
      <c r="B15" s="249"/>
      <c r="C15" s="249"/>
      <c r="D15" s="249"/>
      <c r="E15" s="250"/>
      <c r="F15" s="93">
        <f>F10+F11+F12+F13+F14</f>
        <v>0</v>
      </c>
      <c r="G15" s="109"/>
      <c r="H15" s="248" t="s">
        <v>305</v>
      </c>
      <c r="I15" s="249"/>
      <c r="J15" s="249"/>
      <c r="K15" s="249"/>
      <c r="L15" s="250"/>
      <c r="M15" s="93">
        <f>M10+M11+M12+M13+M14</f>
        <v>0</v>
      </c>
    </row>
    <row r="16" spans="1:13" x14ac:dyDescent="0.25">
      <c r="A16" s="245" t="s">
        <v>306</v>
      </c>
      <c r="B16" s="246"/>
      <c r="C16" s="246"/>
      <c r="D16" s="246"/>
      <c r="E16" s="246"/>
      <c r="F16" s="247"/>
      <c r="G16" s="109"/>
      <c r="H16" s="245" t="s">
        <v>306</v>
      </c>
      <c r="I16" s="246"/>
      <c r="J16" s="246"/>
      <c r="K16" s="246"/>
      <c r="L16" s="246"/>
      <c r="M16" s="247"/>
    </row>
    <row r="17" spans="1:13" x14ac:dyDescent="0.25">
      <c r="A17" s="264" t="s">
        <v>403</v>
      </c>
      <c r="B17" s="265"/>
      <c r="C17" s="107" t="s">
        <v>366</v>
      </c>
      <c r="D17" s="118">
        <f>1/13</f>
        <v>7.6923076923076927E-2</v>
      </c>
      <c r="E17" s="93">
        <f>Cuadrillas!$E$60</f>
        <v>0</v>
      </c>
      <c r="F17" s="93">
        <f>D17*E17</f>
        <v>0</v>
      </c>
      <c r="G17" s="109"/>
      <c r="H17" s="264" t="s">
        <v>403</v>
      </c>
      <c r="I17" s="265"/>
      <c r="J17" s="107" t="s">
        <v>366</v>
      </c>
      <c r="K17" s="118">
        <f>1/13</f>
        <v>7.6923076923076927E-2</v>
      </c>
      <c r="L17" s="93">
        <f>Cuadrillas!$E$60</f>
        <v>0</v>
      </c>
      <c r="M17" s="93">
        <f>K17*L17</f>
        <v>0</v>
      </c>
    </row>
    <row r="18" spans="1:13" x14ac:dyDescent="0.25">
      <c r="A18" s="122" t="s">
        <v>367</v>
      </c>
      <c r="B18" s="106" t="s">
        <v>368</v>
      </c>
      <c r="C18" s="106" t="s">
        <v>370</v>
      </c>
      <c r="D18" s="118">
        <f>8/13</f>
        <v>0.61538461538461542</v>
      </c>
      <c r="E18" s="93">
        <f>Equipo!$I$77</f>
        <v>20.396480952380951</v>
      </c>
      <c r="F18" s="93">
        <f>D18*E18</f>
        <v>12.551680586080586</v>
      </c>
      <c r="G18" s="113"/>
      <c r="H18" s="122" t="s">
        <v>367</v>
      </c>
      <c r="I18" s="106" t="s">
        <v>368</v>
      </c>
      <c r="J18" s="106" t="s">
        <v>370</v>
      </c>
      <c r="K18" s="118">
        <f>8/13</f>
        <v>0.61538461538461542</v>
      </c>
      <c r="L18" s="93">
        <f>Equipo!$I$77</f>
        <v>20.396480952380951</v>
      </c>
      <c r="M18" s="93">
        <f>K18*L18</f>
        <v>12.551680586080586</v>
      </c>
    </row>
    <row r="19" spans="1:13" x14ac:dyDescent="0.25">
      <c r="A19" s="248" t="s">
        <v>305</v>
      </c>
      <c r="B19" s="249"/>
      <c r="C19" s="249"/>
      <c r="D19" s="249"/>
      <c r="E19" s="250"/>
      <c r="F19" s="93">
        <f>F17+F18</f>
        <v>12.551680586080586</v>
      </c>
      <c r="G19" s="113"/>
      <c r="H19" s="248" t="s">
        <v>305</v>
      </c>
      <c r="I19" s="249"/>
      <c r="J19" s="249"/>
      <c r="K19" s="249"/>
      <c r="L19" s="250"/>
      <c r="M19" s="93">
        <f>M17+M18</f>
        <v>12.551680586080586</v>
      </c>
    </row>
    <row r="20" spans="1:13" x14ac:dyDescent="0.25">
      <c r="A20" s="251" t="s">
        <v>307</v>
      </c>
      <c r="B20" s="252"/>
      <c r="C20" s="249"/>
      <c r="D20" s="249"/>
      <c r="E20" s="250"/>
      <c r="F20" s="93">
        <f>F15+F19</f>
        <v>12.551680586080586</v>
      </c>
      <c r="G20" s="109"/>
      <c r="H20" s="251" t="s">
        <v>307</v>
      </c>
      <c r="I20" s="252"/>
      <c r="J20" s="249"/>
      <c r="K20" s="249"/>
      <c r="L20" s="250"/>
      <c r="M20" s="93">
        <f>M15+M19</f>
        <v>12.551680586080586</v>
      </c>
    </row>
    <row r="21" spans="1:13" x14ac:dyDescent="0.25">
      <c r="A21" s="88"/>
      <c r="B21" s="88"/>
      <c r="C21" s="72"/>
      <c r="D21" s="72"/>
      <c r="E21" s="88"/>
      <c r="F21" s="88"/>
      <c r="G21" s="88"/>
      <c r="H21" s="88"/>
      <c r="I21" s="88"/>
      <c r="J21" s="88"/>
      <c r="K21" s="88"/>
      <c r="L21" s="88"/>
      <c r="M21" s="88"/>
    </row>
    <row r="22" spans="1:13" x14ac:dyDescent="0.25">
      <c r="A22" s="88"/>
      <c r="B22" s="88"/>
      <c r="C22" s="72"/>
      <c r="D22" s="72"/>
      <c r="E22" s="88"/>
      <c r="F22" s="88"/>
      <c r="G22" s="88"/>
      <c r="H22" s="88"/>
      <c r="I22" s="88"/>
      <c r="J22" s="88"/>
      <c r="K22" s="88"/>
      <c r="L22" s="88"/>
      <c r="M22" s="88"/>
    </row>
    <row r="23" spans="1:13" x14ac:dyDescent="0.25">
      <c r="A23" s="123"/>
      <c r="B23" s="123"/>
      <c r="C23" s="124"/>
      <c r="D23" s="124"/>
      <c r="E23" s="123"/>
      <c r="F23" s="123"/>
      <c r="G23" s="88"/>
      <c r="H23" s="123"/>
      <c r="I23" s="123"/>
      <c r="J23" s="123"/>
      <c r="K23" s="123"/>
      <c r="L23" s="123"/>
      <c r="M23" s="123"/>
    </row>
    <row r="24" spans="1:13" x14ac:dyDescent="0.25">
      <c r="A24" s="261" t="s">
        <v>417</v>
      </c>
      <c r="B24" s="262"/>
      <c r="C24" s="262"/>
      <c r="D24" s="262"/>
      <c r="E24" s="262"/>
      <c r="F24" s="263"/>
      <c r="G24" s="72"/>
      <c r="H24" s="261" t="s">
        <v>418</v>
      </c>
      <c r="I24" s="262"/>
      <c r="J24" s="262"/>
      <c r="K24" s="262"/>
      <c r="L24" s="262"/>
      <c r="M24" s="263"/>
    </row>
    <row r="25" spans="1:13" x14ac:dyDescent="0.25">
      <c r="A25" s="256" t="s">
        <v>353</v>
      </c>
      <c r="B25" s="257"/>
      <c r="C25" s="257"/>
      <c r="D25" s="257"/>
      <c r="E25" s="257"/>
      <c r="F25" s="258"/>
      <c r="G25" s="72"/>
      <c r="H25" s="256" t="s">
        <v>353</v>
      </c>
      <c r="I25" s="257"/>
      <c r="J25" s="257"/>
      <c r="K25" s="257"/>
      <c r="L25" s="257"/>
      <c r="M25" s="258"/>
    </row>
    <row r="26" spans="1:13" x14ac:dyDescent="0.25">
      <c r="A26" s="259" t="s">
        <v>355</v>
      </c>
      <c r="B26" s="260"/>
      <c r="C26" s="104" t="s">
        <v>292</v>
      </c>
      <c r="D26" s="104" t="s">
        <v>293</v>
      </c>
      <c r="E26" s="104" t="s">
        <v>294</v>
      </c>
      <c r="F26" s="104" t="s">
        <v>295</v>
      </c>
      <c r="G26" s="88"/>
      <c r="H26" s="259" t="s">
        <v>355</v>
      </c>
      <c r="I26" s="260"/>
      <c r="J26" s="104" t="s">
        <v>292</v>
      </c>
      <c r="K26" s="104" t="s">
        <v>293</v>
      </c>
      <c r="L26" s="104" t="s">
        <v>294</v>
      </c>
      <c r="M26" s="104" t="s">
        <v>295</v>
      </c>
    </row>
    <row r="27" spans="1:13" x14ac:dyDescent="0.25">
      <c r="A27" s="105" t="s">
        <v>276</v>
      </c>
      <c r="B27" s="106" t="s">
        <v>373</v>
      </c>
      <c r="C27" s="107" t="s">
        <v>277</v>
      </c>
      <c r="D27" s="108">
        <f>0.293*1.05</f>
        <v>0.30764999999999998</v>
      </c>
      <c r="E27" s="93">
        <f>'Precios de Mat.'!$B$8</f>
        <v>0</v>
      </c>
      <c r="F27" s="93">
        <f>D27*E27</f>
        <v>0</v>
      </c>
      <c r="G27" s="109"/>
      <c r="H27" s="105" t="s">
        <v>276</v>
      </c>
      <c r="I27" s="106" t="s">
        <v>374</v>
      </c>
      <c r="J27" s="107" t="s">
        <v>277</v>
      </c>
      <c r="K27" s="108">
        <f>0.38*1.05</f>
        <v>0.39900000000000002</v>
      </c>
      <c r="L27" s="93">
        <f>'Precios de Mat.'!$B$8</f>
        <v>0</v>
      </c>
      <c r="M27" s="93">
        <f>K27*L27</f>
        <v>0</v>
      </c>
    </row>
    <row r="28" spans="1:13" x14ac:dyDescent="0.25">
      <c r="A28" s="105" t="s">
        <v>286</v>
      </c>
      <c r="B28" s="83" t="s">
        <v>375</v>
      </c>
      <c r="C28" s="107" t="s">
        <v>300</v>
      </c>
      <c r="D28" s="108">
        <f>0.506*1.1</f>
        <v>0.55660000000000009</v>
      </c>
      <c r="E28" s="93">
        <f>'Precios de Mat.'!$B$15</f>
        <v>0</v>
      </c>
      <c r="F28" s="93">
        <f>D28*E28</f>
        <v>0</v>
      </c>
      <c r="G28" s="109"/>
      <c r="H28" s="105" t="s">
        <v>286</v>
      </c>
      <c r="I28" s="83" t="s">
        <v>376</v>
      </c>
      <c r="J28" s="107" t="s">
        <v>300</v>
      </c>
      <c r="K28" s="108">
        <f>0.5*1.1</f>
        <v>0.55000000000000004</v>
      </c>
      <c r="L28" s="93">
        <f>'Precios de Mat.'!$B$15</f>
        <v>0</v>
      </c>
      <c r="M28" s="93">
        <f>K28*L28</f>
        <v>0</v>
      </c>
    </row>
    <row r="29" spans="1:13" x14ac:dyDescent="0.25">
      <c r="A29" s="105" t="s">
        <v>360</v>
      </c>
      <c r="B29" s="83" t="s">
        <v>377</v>
      </c>
      <c r="C29" s="107" t="s">
        <v>300</v>
      </c>
      <c r="D29" s="108">
        <f>0.613*1.1</f>
        <v>0.67430000000000001</v>
      </c>
      <c r="E29" s="93">
        <f>'Precios de Mat.'!$B$17</f>
        <v>0</v>
      </c>
      <c r="F29" s="93">
        <f>D29*E29</f>
        <v>0</v>
      </c>
      <c r="G29" s="109"/>
      <c r="H29" s="105" t="s">
        <v>360</v>
      </c>
      <c r="I29" s="83" t="s">
        <v>378</v>
      </c>
      <c r="J29" s="107" t="s">
        <v>300</v>
      </c>
      <c r="K29" s="108">
        <f>0.6*1.1</f>
        <v>0.66</v>
      </c>
      <c r="L29" s="93">
        <f>'Precios de Mat.'!$B$17</f>
        <v>0</v>
      </c>
      <c r="M29" s="93">
        <f>K29*L29</f>
        <v>0</v>
      </c>
    </row>
    <row r="30" spans="1:13" x14ac:dyDescent="0.25">
      <c r="A30" s="105" t="s">
        <v>302</v>
      </c>
      <c r="B30" s="83" t="s">
        <v>379</v>
      </c>
      <c r="C30" s="107" t="s">
        <v>300</v>
      </c>
      <c r="D30" s="108">
        <f>0.214*1.2</f>
        <v>0.25679999999999997</v>
      </c>
      <c r="E30" s="93">
        <f>'Precios de Mat.'!$B$16</f>
        <v>0</v>
      </c>
      <c r="F30" s="93">
        <f>D30*E30</f>
        <v>0</v>
      </c>
      <c r="G30" s="109"/>
      <c r="H30" s="105" t="s">
        <v>302</v>
      </c>
      <c r="I30" s="83" t="s">
        <v>380</v>
      </c>
      <c r="J30" s="107" t="s">
        <v>300</v>
      </c>
      <c r="K30" s="108">
        <f>0.198*1.2</f>
        <v>0.23760000000000001</v>
      </c>
      <c r="L30" s="93">
        <f>'Precios de Mat.'!$B$16</f>
        <v>0</v>
      </c>
      <c r="M30" s="93">
        <f>K30*L30</f>
        <v>0</v>
      </c>
    </row>
    <row r="31" spans="1:13" x14ac:dyDescent="0.25">
      <c r="A31" s="105" t="s">
        <v>414</v>
      </c>
      <c r="B31" s="110" t="s">
        <v>419</v>
      </c>
      <c r="C31" s="107" t="s">
        <v>283</v>
      </c>
      <c r="D31" s="111">
        <f>3.516*1.05</f>
        <v>3.6918000000000002</v>
      </c>
      <c r="E31" s="93">
        <f>'Precios de Mat.'!$B$13</f>
        <v>0</v>
      </c>
      <c r="F31" s="93">
        <f>D31*E31</f>
        <v>0</v>
      </c>
      <c r="G31" s="109"/>
      <c r="H31" s="105" t="s">
        <v>414</v>
      </c>
      <c r="I31" s="110" t="s">
        <v>420</v>
      </c>
      <c r="J31" s="107" t="s">
        <v>283</v>
      </c>
      <c r="K31" s="111">
        <f>4.56*1.05</f>
        <v>4.7879999999999994</v>
      </c>
      <c r="L31" s="93">
        <f>'Precios de Mat.'!$B$13</f>
        <v>0</v>
      </c>
      <c r="M31" s="93">
        <f>K31*L31</f>
        <v>0</v>
      </c>
    </row>
    <row r="32" spans="1:13" x14ac:dyDescent="0.25">
      <c r="A32" s="248" t="s">
        <v>305</v>
      </c>
      <c r="B32" s="249"/>
      <c r="C32" s="249"/>
      <c r="D32" s="249"/>
      <c r="E32" s="250"/>
      <c r="F32" s="93">
        <f>F27+F28+F29+F30+F31</f>
        <v>0</v>
      </c>
      <c r="G32" s="109"/>
      <c r="H32" s="248" t="s">
        <v>305</v>
      </c>
      <c r="I32" s="249"/>
      <c r="J32" s="249"/>
      <c r="K32" s="249"/>
      <c r="L32" s="250"/>
      <c r="M32" s="93">
        <f>M27+M28+M29+M30+M31</f>
        <v>0</v>
      </c>
    </row>
    <row r="33" spans="1:13" x14ac:dyDescent="0.25">
      <c r="A33" s="245" t="s">
        <v>306</v>
      </c>
      <c r="B33" s="246"/>
      <c r="C33" s="246"/>
      <c r="D33" s="246"/>
      <c r="E33" s="246"/>
      <c r="F33" s="247"/>
      <c r="G33" s="109"/>
      <c r="H33" s="245" t="s">
        <v>306</v>
      </c>
      <c r="I33" s="246"/>
      <c r="J33" s="246"/>
      <c r="K33" s="246"/>
      <c r="L33" s="246"/>
      <c r="M33" s="247"/>
    </row>
    <row r="34" spans="1:13" x14ac:dyDescent="0.25">
      <c r="A34" s="264" t="s">
        <v>403</v>
      </c>
      <c r="B34" s="265"/>
      <c r="C34" s="107" t="s">
        <v>366</v>
      </c>
      <c r="D34" s="118">
        <f>1/13</f>
        <v>7.6923076923076927E-2</v>
      </c>
      <c r="E34" s="93">
        <f>Cuadrillas!$E$60</f>
        <v>0</v>
      </c>
      <c r="F34" s="93">
        <f>D34*E34</f>
        <v>0</v>
      </c>
      <c r="G34" s="109"/>
      <c r="H34" s="264" t="s">
        <v>403</v>
      </c>
      <c r="I34" s="265"/>
      <c r="J34" s="107" t="s">
        <v>366</v>
      </c>
      <c r="K34" s="118">
        <f>1/13</f>
        <v>7.6923076923076927E-2</v>
      </c>
      <c r="L34" s="93">
        <f>Cuadrillas!$E$60</f>
        <v>0</v>
      </c>
      <c r="M34" s="93">
        <f>K34*L34</f>
        <v>0</v>
      </c>
    </row>
    <row r="35" spans="1:13" x14ac:dyDescent="0.25">
      <c r="A35" s="122" t="s">
        <v>367</v>
      </c>
      <c r="B35" s="106" t="s">
        <v>368</v>
      </c>
      <c r="C35" s="106" t="s">
        <v>370</v>
      </c>
      <c r="D35" s="118">
        <f>8/13</f>
        <v>0.61538461538461542</v>
      </c>
      <c r="E35" s="93">
        <f>Equipo!$I$77</f>
        <v>20.396480952380951</v>
      </c>
      <c r="F35" s="93">
        <f>D35*E35</f>
        <v>12.551680586080586</v>
      </c>
      <c r="G35" s="113"/>
      <c r="H35" s="122" t="s">
        <v>367</v>
      </c>
      <c r="I35" s="106" t="s">
        <v>368</v>
      </c>
      <c r="J35" s="106" t="s">
        <v>370</v>
      </c>
      <c r="K35" s="118">
        <f>8/13</f>
        <v>0.61538461538461542</v>
      </c>
      <c r="L35" s="93">
        <f>Equipo!$I$77</f>
        <v>20.396480952380951</v>
      </c>
      <c r="M35" s="93">
        <f>K35*L35</f>
        <v>12.551680586080586</v>
      </c>
    </row>
    <row r="36" spans="1:13" x14ac:dyDescent="0.25">
      <c r="A36" s="248" t="s">
        <v>305</v>
      </c>
      <c r="B36" s="249"/>
      <c r="C36" s="249"/>
      <c r="D36" s="249"/>
      <c r="E36" s="250"/>
      <c r="F36" s="93">
        <f>F34+F35</f>
        <v>12.551680586080586</v>
      </c>
      <c r="G36" s="113"/>
      <c r="H36" s="248" t="s">
        <v>305</v>
      </c>
      <c r="I36" s="249"/>
      <c r="J36" s="249"/>
      <c r="K36" s="249"/>
      <c r="L36" s="250"/>
      <c r="M36" s="93">
        <f>M34+M35</f>
        <v>12.551680586080586</v>
      </c>
    </row>
    <row r="37" spans="1:13" x14ac:dyDescent="0.25">
      <c r="A37" s="251" t="s">
        <v>307</v>
      </c>
      <c r="B37" s="252"/>
      <c r="C37" s="249"/>
      <c r="D37" s="249"/>
      <c r="E37" s="250"/>
      <c r="F37" s="93">
        <f>F32+F36</f>
        <v>12.551680586080586</v>
      </c>
      <c r="G37" s="109"/>
      <c r="H37" s="251" t="s">
        <v>307</v>
      </c>
      <c r="I37" s="252"/>
      <c r="J37" s="249"/>
      <c r="K37" s="249"/>
      <c r="L37" s="250"/>
      <c r="M37" s="93">
        <f>M32+M36</f>
        <v>12.551680586080586</v>
      </c>
    </row>
    <row r="38" spans="1:13" x14ac:dyDescent="0.25">
      <c r="A38" s="88"/>
      <c r="B38" s="88"/>
      <c r="C38" s="88"/>
      <c r="D38" s="88"/>
      <c r="E38" s="88"/>
      <c r="F38" s="88"/>
      <c r="G38" s="89"/>
      <c r="H38" s="88"/>
      <c r="I38" s="88"/>
      <c r="J38" s="88"/>
      <c r="K38" s="88"/>
      <c r="L38" s="88"/>
      <c r="M38" s="88"/>
    </row>
    <row r="39" spans="1:13" x14ac:dyDescent="0.25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x14ac:dyDescent="0.25">
      <c r="A40" s="123"/>
      <c r="B40" s="123"/>
      <c r="C40" s="123"/>
      <c r="D40" s="123"/>
      <c r="E40" s="123"/>
      <c r="F40" s="123"/>
      <c r="G40" s="89"/>
      <c r="H40" s="123"/>
      <c r="I40" s="123"/>
      <c r="J40" s="123"/>
      <c r="K40" s="123"/>
      <c r="L40" s="123"/>
      <c r="M40" s="123"/>
    </row>
    <row r="41" spans="1:13" x14ac:dyDescent="0.25">
      <c r="A41" s="261" t="s">
        <v>421</v>
      </c>
      <c r="B41" s="262"/>
      <c r="C41" s="262"/>
      <c r="D41" s="262"/>
      <c r="E41" s="262"/>
      <c r="F41" s="263"/>
      <c r="G41" s="72"/>
      <c r="H41" s="261" t="s">
        <v>422</v>
      </c>
      <c r="I41" s="262"/>
      <c r="J41" s="262"/>
      <c r="K41" s="262"/>
      <c r="L41" s="262"/>
      <c r="M41" s="263"/>
    </row>
    <row r="42" spans="1:13" x14ac:dyDescent="0.25">
      <c r="A42" s="256" t="s">
        <v>353</v>
      </c>
      <c r="B42" s="257"/>
      <c r="C42" s="257"/>
      <c r="D42" s="257"/>
      <c r="E42" s="257"/>
      <c r="F42" s="258"/>
      <c r="G42" s="72"/>
      <c r="H42" s="256" t="s">
        <v>353</v>
      </c>
      <c r="I42" s="257"/>
      <c r="J42" s="257"/>
      <c r="K42" s="257"/>
      <c r="L42" s="257"/>
      <c r="M42" s="258"/>
    </row>
    <row r="43" spans="1:13" x14ac:dyDescent="0.25">
      <c r="A43" s="259" t="s">
        <v>355</v>
      </c>
      <c r="B43" s="260"/>
      <c r="C43" s="104" t="s">
        <v>292</v>
      </c>
      <c r="D43" s="104" t="s">
        <v>293</v>
      </c>
      <c r="E43" s="104" t="s">
        <v>294</v>
      </c>
      <c r="F43" s="104" t="s">
        <v>295</v>
      </c>
      <c r="G43" s="88"/>
      <c r="H43" s="259" t="s">
        <v>355</v>
      </c>
      <c r="I43" s="260"/>
      <c r="J43" s="104" t="s">
        <v>292</v>
      </c>
      <c r="K43" s="104" t="s">
        <v>293</v>
      </c>
      <c r="L43" s="104" t="s">
        <v>294</v>
      </c>
      <c r="M43" s="104" t="s">
        <v>295</v>
      </c>
    </row>
    <row r="44" spans="1:13" x14ac:dyDescent="0.25">
      <c r="A44" s="105" t="s">
        <v>276</v>
      </c>
      <c r="B44" s="106" t="s">
        <v>383</v>
      </c>
      <c r="C44" s="107" t="s">
        <v>277</v>
      </c>
      <c r="D44" s="108">
        <f>0.318*1.05</f>
        <v>0.33390000000000003</v>
      </c>
      <c r="E44" s="93">
        <f>'Precios de Mat.'!$B$8</f>
        <v>0</v>
      </c>
      <c r="F44" s="93">
        <f>D44*E44</f>
        <v>0</v>
      </c>
      <c r="G44" s="109"/>
      <c r="H44" s="105" t="s">
        <v>276</v>
      </c>
      <c r="I44" s="106" t="s">
        <v>384</v>
      </c>
      <c r="J44" s="107" t="s">
        <v>277</v>
      </c>
      <c r="K44" s="108">
        <f>0.401*1.05</f>
        <v>0.42105000000000004</v>
      </c>
      <c r="L44" s="93">
        <f>'Precios de Mat.'!$B$8</f>
        <v>0</v>
      </c>
      <c r="M44" s="93">
        <f>K44*L44</f>
        <v>0</v>
      </c>
    </row>
    <row r="45" spans="1:13" x14ac:dyDescent="0.25">
      <c r="A45" s="105" t="s">
        <v>286</v>
      </c>
      <c r="B45" s="83" t="s">
        <v>385</v>
      </c>
      <c r="C45" s="107" t="s">
        <v>300</v>
      </c>
      <c r="D45" s="108">
        <f>0.503*1.1</f>
        <v>0.55330000000000001</v>
      </c>
      <c r="E45" s="93">
        <f>'Precios de Mat.'!$B$15</f>
        <v>0</v>
      </c>
      <c r="F45" s="93">
        <f>D45*E45</f>
        <v>0</v>
      </c>
      <c r="G45" s="109"/>
      <c r="H45" s="105" t="s">
        <v>286</v>
      </c>
      <c r="I45" s="83" t="s">
        <v>386</v>
      </c>
      <c r="J45" s="107" t="s">
        <v>300</v>
      </c>
      <c r="K45" s="108">
        <f>0.502*1.1</f>
        <v>0.55220000000000002</v>
      </c>
      <c r="L45" s="93">
        <f>'Precios de Mat.'!$B$15</f>
        <v>0</v>
      </c>
      <c r="M45" s="93">
        <f>K45*L45</f>
        <v>0</v>
      </c>
    </row>
    <row r="46" spans="1:13" x14ac:dyDescent="0.25">
      <c r="A46" s="105" t="s">
        <v>360</v>
      </c>
      <c r="B46" s="83" t="s">
        <v>387</v>
      </c>
      <c r="C46" s="107" t="s">
        <v>300</v>
      </c>
      <c r="D46" s="108">
        <f>0.61*1.1</f>
        <v>0.67100000000000004</v>
      </c>
      <c r="E46" s="93">
        <f>'Precios de Mat.'!$B$17</f>
        <v>0</v>
      </c>
      <c r="F46" s="93">
        <f>D46*E46</f>
        <v>0</v>
      </c>
      <c r="G46" s="109"/>
      <c r="H46" s="105" t="s">
        <v>360</v>
      </c>
      <c r="I46" s="83" t="s">
        <v>388</v>
      </c>
      <c r="J46" s="107" t="s">
        <v>300</v>
      </c>
      <c r="K46" s="108">
        <f>0.598*1.1</f>
        <v>0.65780000000000005</v>
      </c>
      <c r="L46" s="93">
        <f>'Precios de Mat.'!$B$17</f>
        <v>0</v>
      </c>
      <c r="M46" s="93">
        <f>K46*L46</f>
        <v>0</v>
      </c>
    </row>
    <row r="47" spans="1:13" x14ac:dyDescent="0.25">
      <c r="A47" s="105" t="s">
        <v>302</v>
      </c>
      <c r="B47" s="83" t="s">
        <v>389</v>
      </c>
      <c r="C47" s="107" t="s">
        <v>300</v>
      </c>
      <c r="D47" s="108">
        <f>0.211*1.2</f>
        <v>0.25319999999999998</v>
      </c>
      <c r="E47" s="93">
        <f>'Precios de Mat.'!$B$16</f>
        <v>0</v>
      </c>
      <c r="F47" s="93">
        <f>D47*E47</f>
        <v>0</v>
      </c>
      <c r="G47" s="109"/>
      <c r="H47" s="105" t="s">
        <v>302</v>
      </c>
      <c r="I47" s="83" t="s">
        <v>390</v>
      </c>
      <c r="J47" s="107" t="s">
        <v>300</v>
      </c>
      <c r="K47" s="108">
        <f>0.195*1.2</f>
        <v>0.23399999999999999</v>
      </c>
      <c r="L47" s="93">
        <f>'Precios de Mat.'!$B$16</f>
        <v>0</v>
      </c>
      <c r="M47" s="93">
        <f>K47*L47</f>
        <v>0</v>
      </c>
    </row>
    <row r="48" spans="1:13" x14ac:dyDescent="0.25">
      <c r="A48" s="105" t="s">
        <v>414</v>
      </c>
      <c r="B48" s="110" t="s">
        <v>423</v>
      </c>
      <c r="C48" s="107" t="s">
        <v>283</v>
      </c>
      <c r="D48" s="111">
        <f>3.816*1.05</f>
        <v>4.0068000000000001</v>
      </c>
      <c r="E48" s="93">
        <f>'Precios de Mat.'!$B$13</f>
        <v>0</v>
      </c>
      <c r="F48" s="93">
        <f>D48*E48</f>
        <v>0</v>
      </c>
      <c r="G48" s="109"/>
      <c r="H48" s="105" t="s">
        <v>414</v>
      </c>
      <c r="I48" s="110" t="s">
        <v>424</v>
      </c>
      <c r="J48" s="107" t="s">
        <v>283</v>
      </c>
      <c r="K48" s="111">
        <f>4.812*1.05</f>
        <v>5.0526000000000009</v>
      </c>
      <c r="L48" s="93">
        <f>'Precios de Mat.'!$B$13</f>
        <v>0</v>
      </c>
      <c r="M48" s="93">
        <f>K48*L48</f>
        <v>0</v>
      </c>
    </row>
    <row r="49" spans="1:13" x14ac:dyDescent="0.25">
      <c r="A49" s="248" t="s">
        <v>305</v>
      </c>
      <c r="B49" s="249"/>
      <c r="C49" s="249"/>
      <c r="D49" s="249"/>
      <c r="E49" s="250"/>
      <c r="F49" s="93">
        <f>F44+F45+F46+F47+F48</f>
        <v>0</v>
      </c>
      <c r="G49" s="109"/>
      <c r="H49" s="248" t="s">
        <v>305</v>
      </c>
      <c r="I49" s="249"/>
      <c r="J49" s="249"/>
      <c r="K49" s="249"/>
      <c r="L49" s="250"/>
      <c r="M49" s="93">
        <f>M44+M45+M46+M47+M48</f>
        <v>0</v>
      </c>
    </row>
    <row r="50" spans="1:13" x14ac:dyDescent="0.25">
      <c r="A50" s="245" t="s">
        <v>306</v>
      </c>
      <c r="B50" s="246"/>
      <c r="C50" s="246"/>
      <c r="D50" s="246"/>
      <c r="E50" s="246"/>
      <c r="F50" s="247"/>
      <c r="G50" s="109"/>
      <c r="H50" s="245" t="s">
        <v>306</v>
      </c>
      <c r="I50" s="246"/>
      <c r="J50" s="246"/>
      <c r="K50" s="246"/>
      <c r="L50" s="246"/>
      <c r="M50" s="247"/>
    </row>
    <row r="51" spans="1:13" x14ac:dyDescent="0.25">
      <c r="A51" s="264" t="s">
        <v>403</v>
      </c>
      <c r="B51" s="265"/>
      <c r="C51" s="107" t="s">
        <v>366</v>
      </c>
      <c r="D51" s="118">
        <f>1/13</f>
        <v>7.6923076923076927E-2</v>
      </c>
      <c r="E51" s="93">
        <f>Cuadrillas!$E$60</f>
        <v>0</v>
      </c>
      <c r="F51" s="93">
        <f>D51*E51</f>
        <v>0</v>
      </c>
      <c r="G51" s="109"/>
      <c r="H51" s="264" t="s">
        <v>403</v>
      </c>
      <c r="I51" s="265"/>
      <c r="J51" s="107" t="s">
        <v>366</v>
      </c>
      <c r="K51" s="118">
        <f>1/13</f>
        <v>7.6923076923076927E-2</v>
      </c>
      <c r="L51" s="93">
        <f>Cuadrillas!$E$60</f>
        <v>0</v>
      </c>
      <c r="M51" s="93">
        <f>K51*L51</f>
        <v>0</v>
      </c>
    </row>
    <row r="52" spans="1:13" x14ac:dyDescent="0.25">
      <c r="A52" s="122" t="s">
        <v>367</v>
      </c>
      <c r="B52" s="106" t="s">
        <v>368</v>
      </c>
      <c r="C52" s="106" t="s">
        <v>370</v>
      </c>
      <c r="D52" s="118">
        <f>8/13</f>
        <v>0.61538461538461542</v>
      </c>
      <c r="E52" s="93">
        <f>Equipo!$I$77</f>
        <v>20.396480952380951</v>
      </c>
      <c r="F52" s="93">
        <f>D52*E52</f>
        <v>12.551680586080586</v>
      </c>
      <c r="G52" s="113"/>
      <c r="H52" s="122" t="s">
        <v>367</v>
      </c>
      <c r="I52" s="106" t="s">
        <v>368</v>
      </c>
      <c r="J52" s="106" t="s">
        <v>370</v>
      </c>
      <c r="K52" s="118">
        <f>8/13</f>
        <v>0.61538461538461542</v>
      </c>
      <c r="L52" s="93">
        <f>Equipo!$I$77</f>
        <v>20.396480952380951</v>
      </c>
      <c r="M52" s="93">
        <f>K52*L52</f>
        <v>12.551680586080586</v>
      </c>
    </row>
    <row r="53" spans="1:13" x14ac:dyDescent="0.25">
      <c r="A53" s="248" t="s">
        <v>305</v>
      </c>
      <c r="B53" s="249"/>
      <c r="C53" s="249"/>
      <c r="D53" s="249"/>
      <c r="E53" s="250"/>
      <c r="F53" s="93">
        <f>F51+F52</f>
        <v>12.551680586080586</v>
      </c>
      <c r="G53" s="113"/>
      <c r="H53" s="248" t="s">
        <v>305</v>
      </c>
      <c r="I53" s="249"/>
      <c r="J53" s="249"/>
      <c r="K53" s="249"/>
      <c r="L53" s="250"/>
      <c r="M53" s="93">
        <f>M51+M52</f>
        <v>12.551680586080586</v>
      </c>
    </row>
    <row r="54" spans="1:13" x14ac:dyDescent="0.25">
      <c r="A54" s="251" t="s">
        <v>307</v>
      </c>
      <c r="B54" s="252"/>
      <c r="C54" s="249"/>
      <c r="D54" s="249"/>
      <c r="E54" s="250"/>
      <c r="F54" s="93">
        <f>F49+F53</f>
        <v>12.551680586080586</v>
      </c>
      <c r="G54" s="109"/>
      <c r="H54" s="251" t="s">
        <v>307</v>
      </c>
      <c r="I54" s="252"/>
      <c r="J54" s="249"/>
      <c r="K54" s="249"/>
      <c r="L54" s="250"/>
      <c r="M54" s="93">
        <f>M49+M53</f>
        <v>12.551680586080586</v>
      </c>
    </row>
    <row r="55" spans="1:13" x14ac:dyDescent="0.25">
      <c r="A55" s="88"/>
      <c r="B55" s="88"/>
      <c r="C55" s="88"/>
      <c r="D55" s="88"/>
      <c r="E55" s="88"/>
      <c r="F55" s="88"/>
      <c r="G55" s="89"/>
      <c r="H55" s="88"/>
      <c r="I55" s="88"/>
      <c r="J55" s="88"/>
      <c r="K55" s="88"/>
      <c r="L55" s="88"/>
      <c r="M55" s="88"/>
    </row>
    <row r="56" spans="1:13" x14ac:dyDescent="0.25">
      <c r="A56" s="88"/>
      <c r="B56" s="88"/>
      <c r="C56" s="88"/>
      <c r="D56" s="88"/>
      <c r="E56" s="88"/>
      <c r="F56" s="88"/>
      <c r="G56" s="89"/>
      <c r="H56" s="88"/>
      <c r="I56" s="88"/>
      <c r="J56" s="88"/>
      <c r="K56" s="88"/>
      <c r="L56" s="88"/>
      <c r="M56" s="88"/>
    </row>
    <row r="57" spans="1:13" x14ac:dyDescent="0.25">
      <c r="A57" s="88"/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</row>
    <row r="58" spans="1:13" x14ac:dyDescent="0.25">
      <c r="A58" s="261" t="s">
        <v>425</v>
      </c>
      <c r="B58" s="262"/>
      <c r="C58" s="262"/>
      <c r="D58" s="262"/>
      <c r="E58" s="262"/>
      <c r="F58" s="263"/>
      <c r="G58" s="72"/>
      <c r="H58" s="261" t="s">
        <v>426</v>
      </c>
      <c r="I58" s="262"/>
      <c r="J58" s="262"/>
      <c r="K58" s="262"/>
      <c r="L58" s="262"/>
      <c r="M58" s="263"/>
    </row>
    <row r="59" spans="1:13" x14ac:dyDescent="0.25">
      <c r="A59" s="256" t="s">
        <v>353</v>
      </c>
      <c r="B59" s="257"/>
      <c r="C59" s="257"/>
      <c r="D59" s="257"/>
      <c r="E59" s="257"/>
      <c r="F59" s="258"/>
      <c r="G59" s="72"/>
      <c r="H59" s="256" t="s">
        <v>353</v>
      </c>
      <c r="I59" s="257"/>
      <c r="J59" s="257"/>
      <c r="K59" s="257"/>
      <c r="L59" s="257"/>
      <c r="M59" s="258"/>
    </row>
    <row r="60" spans="1:13" x14ac:dyDescent="0.25">
      <c r="A60" s="259" t="s">
        <v>355</v>
      </c>
      <c r="B60" s="260"/>
      <c r="C60" s="104" t="s">
        <v>292</v>
      </c>
      <c r="D60" s="104" t="s">
        <v>293</v>
      </c>
      <c r="E60" s="104" t="s">
        <v>294</v>
      </c>
      <c r="F60" s="104" t="s">
        <v>295</v>
      </c>
      <c r="G60" s="88"/>
      <c r="H60" s="259" t="s">
        <v>355</v>
      </c>
      <c r="I60" s="260"/>
      <c r="J60" s="104" t="s">
        <v>292</v>
      </c>
      <c r="K60" s="104" t="s">
        <v>293</v>
      </c>
      <c r="L60" s="104" t="s">
        <v>294</v>
      </c>
      <c r="M60" s="104" t="s">
        <v>295</v>
      </c>
    </row>
    <row r="61" spans="1:13" x14ac:dyDescent="0.25">
      <c r="A61" s="105" t="s">
        <v>276</v>
      </c>
      <c r="B61" s="106" t="s">
        <v>393</v>
      </c>
      <c r="C61" s="107" t="s">
        <v>277</v>
      </c>
      <c r="D61" s="108">
        <f>0.338*1.05</f>
        <v>0.35490000000000005</v>
      </c>
      <c r="E61" s="93">
        <f>'Precios de Mat.'!$B$8</f>
        <v>0</v>
      </c>
      <c r="F61" s="93">
        <f>D61*E61</f>
        <v>0</v>
      </c>
      <c r="G61" s="109"/>
      <c r="H61" s="105" t="s">
        <v>276</v>
      </c>
      <c r="I61" s="106" t="s">
        <v>394</v>
      </c>
      <c r="J61" s="107" t="s">
        <v>277</v>
      </c>
      <c r="K61" s="108">
        <f>0.416*1.05</f>
        <v>0.43680000000000002</v>
      </c>
      <c r="L61" s="93">
        <f>'Precios de Mat.'!$B$8</f>
        <v>0</v>
      </c>
      <c r="M61" s="93">
        <f>K61*L61</f>
        <v>0</v>
      </c>
    </row>
    <row r="62" spans="1:13" x14ac:dyDescent="0.25">
      <c r="A62" s="105" t="s">
        <v>286</v>
      </c>
      <c r="B62" s="83" t="s">
        <v>376</v>
      </c>
      <c r="C62" s="107" t="s">
        <v>300</v>
      </c>
      <c r="D62" s="108">
        <f>0.5*1.1</f>
        <v>0.55000000000000004</v>
      </c>
      <c r="E62" s="93">
        <f>'Precios de Mat.'!$B$15</f>
        <v>0</v>
      </c>
      <c r="F62" s="93">
        <f>D62*E62</f>
        <v>0</v>
      </c>
      <c r="G62" s="109"/>
      <c r="H62" s="105" t="s">
        <v>286</v>
      </c>
      <c r="I62" s="83" t="s">
        <v>395</v>
      </c>
      <c r="J62" s="107" t="s">
        <v>300</v>
      </c>
      <c r="K62" s="108">
        <f>0.504*1.1</f>
        <v>0.5544</v>
      </c>
      <c r="L62" s="93">
        <f>'Precios de Mat.'!$B$15</f>
        <v>0</v>
      </c>
      <c r="M62" s="93">
        <f>K62*L62</f>
        <v>0</v>
      </c>
    </row>
    <row r="63" spans="1:13" x14ac:dyDescent="0.25">
      <c r="A63" s="105" t="s">
        <v>360</v>
      </c>
      <c r="B63" s="83" t="s">
        <v>396</v>
      </c>
      <c r="C63" s="107" t="s">
        <v>300</v>
      </c>
      <c r="D63" s="108">
        <f>0.606*1.1</f>
        <v>0.66660000000000008</v>
      </c>
      <c r="E63" s="93">
        <f>'Precios de Mat.'!$B$17</f>
        <v>0</v>
      </c>
      <c r="F63" s="93">
        <f>D63*E63</f>
        <v>0</v>
      </c>
      <c r="G63" s="109"/>
      <c r="H63" s="105" t="s">
        <v>360</v>
      </c>
      <c r="I63" s="83" t="s">
        <v>396</v>
      </c>
      <c r="J63" s="107" t="s">
        <v>300</v>
      </c>
      <c r="K63" s="108">
        <f>0.606*1.1</f>
        <v>0.66660000000000008</v>
      </c>
      <c r="L63" s="93">
        <f>'Precios de Mat.'!$B$17</f>
        <v>0</v>
      </c>
      <c r="M63" s="93">
        <f>K63*L63</f>
        <v>0</v>
      </c>
    </row>
    <row r="64" spans="1:13" x14ac:dyDescent="0.25">
      <c r="A64" s="105" t="s">
        <v>302</v>
      </c>
      <c r="B64" s="83" t="s">
        <v>397</v>
      </c>
      <c r="C64" s="107" t="s">
        <v>300</v>
      </c>
      <c r="D64" s="108">
        <f>0.206*1.2</f>
        <v>0.24719999999999998</v>
      </c>
      <c r="E64" s="93">
        <f>'Precios de Mat.'!$B$16</f>
        <v>0</v>
      </c>
      <c r="F64" s="93">
        <f>D64*E64</f>
        <v>0</v>
      </c>
      <c r="G64" s="109"/>
      <c r="H64" s="105" t="s">
        <v>302</v>
      </c>
      <c r="I64" s="83" t="s">
        <v>390</v>
      </c>
      <c r="J64" s="107" t="s">
        <v>300</v>
      </c>
      <c r="K64" s="108">
        <f>0.195*1.2</f>
        <v>0.23399999999999999</v>
      </c>
      <c r="L64" s="93">
        <f>'Precios de Mat.'!$B$16</f>
        <v>0</v>
      </c>
      <c r="M64" s="93">
        <f>K64*L64</f>
        <v>0</v>
      </c>
    </row>
    <row r="65" spans="1:13" x14ac:dyDescent="0.25">
      <c r="A65" s="105" t="s">
        <v>414</v>
      </c>
      <c r="B65" s="110" t="s">
        <v>427</v>
      </c>
      <c r="C65" s="107" t="s">
        <v>283</v>
      </c>
      <c r="D65" s="111">
        <f>4.056*1.05</f>
        <v>4.2587999999999999</v>
      </c>
      <c r="E65" s="93">
        <f>'Precios de Mat.'!$B$13</f>
        <v>0</v>
      </c>
      <c r="F65" s="93">
        <f>D65*E65</f>
        <v>0</v>
      </c>
      <c r="G65" s="109"/>
      <c r="H65" s="105" t="s">
        <v>414</v>
      </c>
      <c r="I65" s="110" t="s">
        <v>428</v>
      </c>
      <c r="J65" s="107" t="s">
        <v>283</v>
      </c>
      <c r="K65" s="111">
        <f>4.992*1.05</f>
        <v>5.2416</v>
      </c>
      <c r="L65" s="93">
        <f>'Precios de Mat.'!$B$13</f>
        <v>0</v>
      </c>
      <c r="M65" s="93">
        <f>K65*L65</f>
        <v>0</v>
      </c>
    </row>
    <row r="66" spans="1:13" x14ac:dyDescent="0.25">
      <c r="A66" s="248" t="s">
        <v>305</v>
      </c>
      <c r="B66" s="249"/>
      <c r="C66" s="249"/>
      <c r="D66" s="249"/>
      <c r="E66" s="250"/>
      <c r="F66" s="93">
        <f>F61+F62+F63+F64+F65</f>
        <v>0</v>
      </c>
      <c r="G66" s="109"/>
      <c r="H66" s="248" t="s">
        <v>305</v>
      </c>
      <c r="I66" s="249"/>
      <c r="J66" s="249"/>
      <c r="K66" s="249"/>
      <c r="L66" s="250"/>
      <c r="M66" s="93">
        <f>M61+M62+M63+M64+M65</f>
        <v>0</v>
      </c>
    </row>
    <row r="67" spans="1:13" x14ac:dyDescent="0.25">
      <c r="A67" s="245" t="s">
        <v>306</v>
      </c>
      <c r="B67" s="246"/>
      <c r="C67" s="246"/>
      <c r="D67" s="246"/>
      <c r="E67" s="246"/>
      <c r="F67" s="247"/>
      <c r="G67" s="109"/>
      <c r="H67" s="245" t="s">
        <v>306</v>
      </c>
      <c r="I67" s="246"/>
      <c r="J67" s="246"/>
      <c r="K67" s="246"/>
      <c r="L67" s="246"/>
      <c r="M67" s="247"/>
    </row>
    <row r="68" spans="1:13" x14ac:dyDescent="0.25">
      <c r="A68" s="264" t="s">
        <v>403</v>
      </c>
      <c r="B68" s="265"/>
      <c r="C68" s="107" t="s">
        <v>366</v>
      </c>
      <c r="D68" s="118">
        <f>1/13</f>
        <v>7.6923076923076927E-2</v>
      </c>
      <c r="E68" s="93">
        <f>Cuadrillas!$E$60</f>
        <v>0</v>
      </c>
      <c r="F68" s="93">
        <f>D68*E68</f>
        <v>0</v>
      </c>
      <c r="G68" s="109"/>
      <c r="H68" s="264" t="s">
        <v>403</v>
      </c>
      <c r="I68" s="265"/>
      <c r="J68" s="107" t="s">
        <v>366</v>
      </c>
      <c r="K68" s="118">
        <f>1/13</f>
        <v>7.6923076923076927E-2</v>
      </c>
      <c r="L68" s="93">
        <f>Cuadrillas!$E$60</f>
        <v>0</v>
      </c>
      <c r="M68" s="93">
        <f>K68*L68</f>
        <v>0</v>
      </c>
    </row>
    <row r="69" spans="1:13" x14ac:dyDescent="0.25">
      <c r="A69" s="122" t="s">
        <v>367</v>
      </c>
      <c r="B69" s="106" t="s">
        <v>368</v>
      </c>
      <c r="C69" s="106" t="s">
        <v>370</v>
      </c>
      <c r="D69" s="118">
        <f>8/13</f>
        <v>0.61538461538461542</v>
      </c>
      <c r="E69" s="93">
        <f>Equipo!$I$77</f>
        <v>20.396480952380951</v>
      </c>
      <c r="F69" s="93">
        <f>D69*E69</f>
        <v>12.551680586080586</v>
      </c>
      <c r="G69" s="113"/>
      <c r="H69" s="122" t="s">
        <v>367</v>
      </c>
      <c r="I69" s="106" t="s">
        <v>368</v>
      </c>
      <c r="J69" s="106" t="s">
        <v>370</v>
      </c>
      <c r="K69" s="118">
        <f>8/13</f>
        <v>0.61538461538461542</v>
      </c>
      <c r="L69" s="93">
        <f>Equipo!$I$77</f>
        <v>20.396480952380951</v>
      </c>
      <c r="M69" s="93">
        <f>K69*L69</f>
        <v>12.551680586080586</v>
      </c>
    </row>
    <row r="70" spans="1:13" x14ac:dyDescent="0.25">
      <c r="A70" s="248" t="s">
        <v>305</v>
      </c>
      <c r="B70" s="249"/>
      <c r="C70" s="249"/>
      <c r="D70" s="249"/>
      <c r="E70" s="250"/>
      <c r="F70" s="93">
        <f>F68+F69</f>
        <v>12.551680586080586</v>
      </c>
      <c r="G70" s="113"/>
      <c r="H70" s="248" t="s">
        <v>305</v>
      </c>
      <c r="I70" s="249"/>
      <c r="J70" s="249"/>
      <c r="K70" s="249"/>
      <c r="L70" s="250"/>
      <c r="M70" s="93">
        <f>M68+M69</f>
        <v>12.551680586080586</v>
      </c>
    </row>
    <row r="71" spans="1:13" x14ac:dyDescent="0.25">
      <c r="A71" s="251" t="s">
        <v>307</v>
      </c>
      <c r="B71" s="252"/>
      <c r="C71" s="249"/>
      <c r="D71" s="249"/>
      <c r="E71" s="250"/>
      <c r="F71" s="93">
        <f>F66+F70</f>
        <v>12.551680586080586</v>
      </c>
      <c r="G71" s="109"/>
      <c r="H71" s="251" t="s">
        <v>307</v>
      </c>
      <c r="I71" s="252"/>
      <c r="J71" s="249"/>
      <c r="K71" s="249"/>
      <c r="L71" s="250"/>
      <c r="M71" s="93">
        <f>M66+M70</f>
        <v>12.551680586080586</v>
      </c>
    </row>
    <row r="72" spans="1:13" x14ac:dyDescent="0.25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</row>
    <row r="73" spans="1:13" x14ac:dyDescent="0.25">
      <c r="A73" s="8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</row>
    <row r="74" spans="1:13" x14ac:dyDescent="0.25">
      <c r="A74" s="8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</row>
    <row r="75" spans="1:13" x14ac:dyDescent="0.25">
      <c r="A75" s="261" t="s">
        <v>429</v>
      </c>
      <c r="B75" s="262"/>
      <c r="C75" s="262"/>
      <c r="D75" s="262"/>
      <c r="E75" s="262"/>
      <c r="F75" s="263"/>
      <c r="G75" s="89"/>
      <c r="H75" s="89"/>
      <c r="I75" s="89"/>
      <c r="J75" s="89"/>
      <c r="K75" s="89"/>
      <c r="L75" s="89"/>
      <c r="M75" s="89"/>
    </row>
    <row r="76" spans="1:13" x14ac:dyDescent="0.25">
      <c r="A76" s="256" t="s">
        <v>353</v>
      </c>
      <c r="B76" s="257"/>
      <c r="C76" s="257"/>
      <c r="D76" s="257"/>
      <c r="E76" s="257"/>
      <c r="F76" s="258"/>
      <c r="G76" s="89"/>
      <c r="H76" s="89"/>
      <c r="I76" s="89"/>
      <c r="J76" s="89"/>
      <c r="K76" s="89"/>
      <c r="L76" s="89"/>
      <c r="M76" s="89"/>
    </row>
    <row r="77" spans="1:13" x14ac:dyDescent="0.25">
      <c r="A77" s="259" t="s">
        <v>355</v>
      </c>
      <c r="B77" s="260"/>
      <c r="C77" s="104" t="s">
        <v>292</v>
      </c>
      <c r="D77" s="104" t="s">
        <v>293</v>
      </c>
      <c r="E77" s="104" t="s">
        <v>294</v>
      </c>
      <c r="F77" s="104" t="s">
        <v>295</v>
      </c>
      <c r="G77" s="89"/>
      <c r="H77" s="89"/>
      <c r="I77" s="89"/>
      <c r="J77" s="89"/>
      <c r="K77" s="89"/>
      <c r="L77" s="89"/>
      <c r="M77" s="89"/>
    </row>
    <row r="78" spans="1:13" x14ac:dyDescent="0.25">
      <c r="A78" s="105" t="s">
        <v>276</v>
      </c>
      <c r="B78" s="106" t="s">
        <v>399</v>
      </c>
      <c r="C78" s="107" t="s">
        <v>277</v>
      </c>
      <c r="D78" s="108">
        <f>0.431*1.05</f>
        <v>0.45255000000000001</v>
      </c>
      <c r="E78" s="93">
        <f>'Precios de Mat.'!$B$8</f>
        <v>0</v>
      </c>
      <c r="F78" s="93">
        <f>D78*E78</f>
        <v>0</v>
      </c>
      <c r="G78" s="89"/>
      <c r="H78" s="89"/>
      <c r="I78" s="89"/>
      <c r="J78" s="89"/>
      <c r="K78" s="89"/>
      <c r="L78" s="89"/>
      <c r="M78" s="89"/>
    </row>
    <row r="79" spans="1:13" x14ac:dyDescent="0.25">
      <c r="A79" s="105" t="s">
        <v>286</v>
      </c>
      <c r="B79" s="83" t="s">
        <v>400</v>
      </c>
      <c r="C79" s="107" t="s">
        <v>300</v>
      </c>
      <c r="D79" s="108">
        <f>0.507*1.1</f>
        <v>0.55770000000000008</v>
      </c>
      <c r="E79" s="93">
        <f>'Precios de Mat.'!$B$15</f>
        <v>0</v>
      </c>
      <c r="F79" s="93">
        <f>D79*E79</f>
        <v>0</v>
      </c>
      <c r="G79" s="89"/>
      <c r="H79" s="89"/>
      <c r="I79" s="89"/>
      <c r="J79" s="89"/>
      <c r="K79" s="89"/>
      <c r="L79" s="89"/>
      <c r="M79" s="89"/>
    </row>
    <row r="80" spans="1:13" x14ac:dyDescent="0.25">
      <c r="A80" s="105" t="s">
        <v>360</v>
      </c>
      <c r="B80" s="83" t="s">
        <v>401</v>
      </c>
      <c r="C80" s="107" t="s">
        <v>300</v>
      </c>
      <c r="D80" s="108">
        <f>0.614*1.1</f>
        <v>0.6754</v>
      </c>
      <c r="E80" s="93">
        <f>'Precios de Mat.'!$B$17</f>
        <v>0</v>
      </c>
      <c r="F80" s="93">
        <f>D80*E80</f>
        <v>0</v>
      </c>
      <c r="G80" s="89"/>
      <c r="H80" s="89"/>
      <c r="I80" s="89"/>
      <c r="J80" s="89"/>
      <c r="K80" s="89"/>
      <c r="L80" s="89"/>
      <c r="M80" s="89"/>
    </row>
    <row r="81" spans="1:13" x14ac:dyDescent="0.25">
      <c r="A81" s="105" t="s">
        <v>302</v>
      </c>
      <c r="B81" s="83" t="s">
        <v>402</v>
      </c>
      <c r="C81" s="107" t="s">
        <v>300</v>
      </c>
      <c r="D81" s="108">
        <f>0.196*1.2</f>
        <v>0.23519999999999999</v>
      </c>
      <c r="E81" s="93">
        <f>'Precios de Mat.'!$B$16</f>
        <v>0</v>
      </c>
      <c r="F81" s="93">
        <f>D81*E81</f>
        <v>0</v>
      </c>
      <c r="G81" s="89"/>
      <c r="H81" s="89"/>
      <c r="I81" s="89"/>
      <c r="J81" s="89"/>
      <c r="K81" s="89"/>
      <c r="L81" s="89"/>
      <c r="M81" s="89"/>
    </row>
    <row r="82" spans="1:13" x14ac:dyDescent="0.25">
      <c r="A82" s="105" t="s">
        <v>414</v>
      </c>
      <c r="B82" s="110" t="s">
        <v>430</v>
      </c>
      <c r="C82" s="107" t="s">
        <v>283</v>
      </c>
      <c r="D82" s="111">
        <f>5.172*1.05</f>
        <v>5.4306000000000001</v>
      </c>
      <c r="E82" s="93">
        <f>'Precios de Mat.'!$B$13</f>
        <v>0</v>
      </c>
      <c r="F82" s="93">
        <f>D82*E82</f>
        <v>0</v>
      </c>
      <c r="G82" s="89"/>
      <c r="H82" s="89"/>
      <c r="I82" s="89"/>
      <c r="J82" s="89"/>
      <c r="K82" s="89"/>
      <c r="L82" s="89"/>
      <c r="M82" s="89"/>
    </row>
    <row r="83" spans="1:13" x14ac:dyDescent="0.25">
      <c r="A83" s="248" t="s">
        <v>305</v>
      </c>
      <c r="B83" s="249"/>
      <c r="C83" s="249"/>
      <c r="D83" s="249"/>
      <c r="E83" s="250"/>
      <c r="F83" s="93">
        <f>F78+F79+F80+F81+F82</f>
        <v>0</v>
      </c>
      <c r="G83" s="89"/>
      <c r="H83" s="89"/>
      <c r="I83" s="89"/>
      <c r="J83" s="89"/>
      <c r="K83" s="89"/>
      <c r="L83" s="89"/>
      <c r="M83" s="89"/>
    </row>
    <row r="84" spans="1:13" x14ac:dyDescent="0.25">
      <c r="A84" s="245" t="s">
        <v>306</v>
      </c>
      <c r="B84" s="246"/>
      <c r="C84" s="246"/>
      <c r="D84" s="246"/>
      <c r="E84" s="246"/>
      <c r="F84" s="247"/>
      <c r="G84" s="89"/>
      <c r="H84" s="89"/>
      <c r="I84" s="89"/>
      <c r="J84" s="89"/>
      <c r="K84" s="89"/>
      <c r="L84" s="89"/>
      <c r="M84" s="89"/>
    </row>
    <row r="85" spans="1:13" x14ac:dyDescent="0.25">
      <c r="A85" s="264" t="s">
        <v>403</v>
      </c>
      <c r="B85" s="265"/>
      <c r="C85" s="107" t="s">
        <v>366</v>
      </c>
      <c r="D85" s="118">
        <f>1/13</f>
        <v>7.6923076923076927E-2</v>
      </c>
      <c r="E85" s="93">
        <f>Cuadrillas!$E$60</f>
        <v>0</v>
      </c>
      <c r="F85" s="93">
        <f>D85*E85</f>
        <v>0</v>
      </c>
      <c r="G85" s="89"/>
      <c r="H85" s="89"/>
      <c r="I85" s="89"/>
      <c r="J85" s="89"/>
      <c r="K85" s="89"/>
      <c r="L85" s="89"/>
      <c r="M85" s="89"/>
    </row>
    <row r="86" spans="1:13" x14ac:dyDescent="0.25">
      <c r="A86" s="122" t="s">
        <v>367</v>
      </c>
      <c r="B86" s="106" t="s">
        <v>368</v>
      </c>
      <c r="C86" s="106" t="s">
        <v>370</v>
      </c>
      <c r="D86" s="118">
        <f>8/13</f>
        <v>0.61538461538461542</v>
      </c>
      <c r="E86" s="93">
        <f>Equipo!$I$77</f>
        <v>20.396480952380951</v>
      </c>
      <c r="F86" s="93">
        <f>D86*E86</f>
        <v>12.551680586080586</v>
      </c>
      <c r="G86" s="89"/>
      <c r="H86" s="89"/>
      <c r="I86" s="89"/>
      <c r="J86" s="89"/>
      <c r="K86" s="89"/>
      <c r="L86" s="89"/>
      <c r="M86" s="89"/>
    </row>
    <row r="87" spans="1:13" x14ac:dyDescent="0.25">
      <c r="A87" s="248" t="s">
        <v>305</v>
      </c>
      <c r="B87" s="249"/>
      <c r="C87" s="249"/>
      <c r="D87" s="249"/>
      <c r="E87" s="250"/>
      <c r="F87" s="93">
        <f>F85+F86</f>
        <v>12.551680586080586</v>
      </c>
      <c r="G87" s="89"/>
      <c r="H87" s="89"/>
      <c r="I87" s="89"/>
      <c r="J87" s="89"/>
      <c r="K87" s="89"/>
      <c r="L87" s="89"/>
      <c r="M87" s="89"/>
    </row>
    <row r="88" spans="1:13" x14ac:dyDescent="0.25">
      <c r="A88" s="251" t="s">
        <v>307</v>
      </c>
      <c r="B88" s="252"/>
      <c r="C88" s="249"/>
      <c r="D88" s="249"/>
      <c r="E88" s="250"/>
      <c r="F88" s="93">
        <f>F83+F87</f>
        <v>12.551680586080586</v>
      </c>
      <c r="G88" s="89"/>
      <c r="H88" s="89"/>
      <c r="I88" s="89"/>
      <c r="J88" s="89"/>
      <c r="K88" s="89"/>
      <c r="L88" s="89"/>
      <c r="M88" s="89"/>
    </row>
    <row r="89" spans="1:13" x14ac:dyDescent="0.25">
      <c r="A89" s="8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</row>
  </sheetData>
  <mergeCells count="76">
    <mergeCell ref="A7:F7"/>
    <mergeCell ref="H7:M7"/>
    <mergeCell ref="A8:F8"/>
    <mergeCell ref="H8:M8"/>
    <mergeCell ref="A9:B9"/>
    <mergeCell ref="H9:I9"/>
    <mergeCell ref="A15:E15"/>
    <mergeCell ref="H15:L15"/>
    <mergeCell ref="A16:F16"/>
    <mergeCell ref="H16:M16"/>
    <mergeCell ref="A19:E19"/>
    <mergeCell ref="H19:L19"/>
    <mergeCell ref="H17:I17"/>
    <mergeCell ref="H34:I34"/>
    <mergeCell ref="H36:L36"/>
    <mergeCell ref="H37:L37"/>
    <mergeCell ref="A20:E20"/>
    <mergeCell ref="H20:L20"/>
    <mergeCell ref="A24:F24"/>
    <mergeCell ref="H24:M24"/>
    <mergeCell ref="A25:F25"/>
    <mergeCell ref="H25:M25"/>
    <mergeCell ref="H70:L70"/>
    <mergeCell ref="A71:E71"/>
    <mergeCell ref="H71:L71"/>
    <mergeCell ref="A84:F84"/>
    <mergeCell ref="A50:F50"/>
    <mergeCell ref="H50:M50"/>
    <mergeCell ref="A53:E53"/>
    <mergeCell ref="H53:L53"/>
    <mergeCell ref="H59:M59"/>
    <mergeCell ref="A60:B60"/>
    <mergeCell ref="H60:I60"/>
    <mergeCell ref="A54:E54"/>
    <mergeCell ref="H54:L54"/>
    <mergeCell ref="A58:F58"/>
    <mergeCell ref="A51:B51"/>
    <mergeCell ref="H51:I51"/>
    <mergeCell ref="A87:E87"/>
    <mergeCell ref="A88:E88"/>
    <mergeCell ref="A17:B17"/>
    <mergeCell ref="A34:B34"/>
    <mergeCell ref="A85:B85"/>
    <mergeCell ref="A75:F75"/>
    <mergeCell ref="A76:F76"/>
    <mergeCell ref="A77:B77"/>
    <mergeCell ref="A83:E83"/>
    <mergeCell ref="A70:E70"/>
    <mergeCell ref="A42:F42"/>
    <mergeCell ref="A43:B43"/>
    <mergeCell ref="A49:E49"/>
    <mergeCell ref="A36:E36"/>
    <mergeCell ref="A37:E37"/>
    <mergeCell ref="A41:F41"/>
    <mergeCell ref="A68:B68"/>
    <mergeCell ref="H68:I68"/>
    <mergeCell ref="A66:E66"/>
    <mergeCell ref="H66:L66"/>
    <mergeCell ref="A67:F67"/>
    <mergeCell ref="H67:M67"/>
    <mergeCell ref="A1:M1"/>
    <mergeCell ref="A2:M2"/>
    <mergeCell ref="A3:M3"/>
    <mergeCell ref="A4:M4"/>
    <mergeCell ref="A59:F59"/>
    <mergeCell ref="H58:M58"/>
    <mergeCell ref="H42:M42"/>
    <mergeCell ref="H43:I43"/>
    <mergeCell ref="H49:L49"/>
    <mergeCell ref="H41:M41"/>
    <mergeCell ref="A26:B26"/>
    <mergeCell ref="H26:I26"/>
    <mergeCell ref="A32:E32"/>
    <mergeCell ref="H32:L32"/>
    <mergeCell ref="A33:F33"/>
    <mergeCell ref="H33:M33"/>
  </mergeCells>
  <phoneticPr fontId="0" type="noConversion"/>
  <pageMargins left="0.75" right="0.75" top="0.21" bottom="1" header="0" footer="0"/>
  <pageSetup scale="70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90"/>
  <sheetViews>
    <sheetView zoomScaleNormal="100" workbookViewId="0">
      <selection activeCell="C6" sqref="C6"/>
    </sheetView>
  </sheetViews>
  <sheetFormatPr baseColWidth="10" defaultRowHeight="13.2" x14ac:dyDescent="0.25"/>
  <cols>
    <col min="1" max="1" width="12.109375" customWidth="1"/>
    <col min="7" max="7" width="3.5546875" customWidth="1"/>
  </cols>
  <sheetData>
    <row r="1" spans="1:13" ht="23.4" x14ac:dyDescent="0.25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x14ac:dyDescent="0.25">
      <c r="A3" s="200" t="s">
        <v>562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6" spans="1:13" x14ac:dyDescent="0.25">
      <c r="A6" s="125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</row>
    <row r="7" spans="1:13" x14ac:dyDescent="0.25">
      <c r="A7" s="275" t="s">
        <v>431</v>
      </c>
      <c r="B7" s="276"/>
      <c r="C7" s="276"/>
      <c r="D7" s="276"/>
      <c r="E7" s="276"/>
      <c r="F7" s="276"/>
      <c r="G7" s="126"/>
      <c r="H7" s="275" t="s">
        <v>431</v>
      </c>
      <c r="I7" s="276"/>
      <c r="J7" s="276"/>
      <c r="K7" s="276"/>
      <c r="L7" s="276"/>
      <c r="M7" s="276"/>
    </row>
    <row r="8" spans="1:13" x14ac:dyDescent="0.25">
      <c r="A8" s="277" t="s">
        <v>432</v>
      </c>
      <c r="B8" s="278"/>
      <c r="C8" s="278"/>
      <c r="D8" s="278"/>
      <c r="E8" s="278"/>
      <c r="F8" s="279"/>
      <c r="G8" s="127"/>
      <c r="H8" s="277" t="s">
        <v>433</v>
      </c>
      <c r="I8" s="278"/>
      <c r="J8" s="278"/>
      <c r="K8" s="278"/>
      <c r="L8" s="278"/>
      <c r="M8" s="279"/>
    </row>
    <row r="9" spans="1:13" x14ac:dyDescent="0.25">
      <c r="A9" s="280" t="s">
        <v>434</v>
      </c>
      <c r="B9" s="281"/>
      <c r="C9" s="281"/>
      <c r="D9" s="281"/>
      <c r="E9" s="281"/>
      <c r="F9" s="282"/>
      <c r="G9" s="127"/>
      <c r="H9" s="280" t="s">
        <v>434</v>
      </c>
      <c r="I9" s="281"/>
      <c r="J9" s="281"/>
      <c r="K9" s="281"/>
      <c r="L9" s="281"/>
      <c r="M9" s="282"/>
    </row>
    <row r="10" spans="1:13" x14ac:dyDescent="0.25">
      <c r="A10" s="268" t="s">
        <v>355</v>
      </c>
      <c r="B10" s="269"/>
      <c r="C10" s="128" t="s">
        <v>292</v>
      </c>
      <c r="D10" s="128" t="s">
        <v>293</v>
      </c>
      <c r="E10" s="128" t="s">
        <v>294</v>
      </c>
      <c r="F10" s="128" t="s">
        <v>295</v>
      </c>
      <c r="G10" s="126"/>
      <c r="H10" s="268" t="s">
        <v>355</v>
      </c>
      <c r="I10" s="269"/>
      <c r="J10" s="128" t="s">
        <v>292</v>
      </c>
      <c r="K10" s="128" t="s">
        <v>293</v>
      </c>
      <c r="L10" s="128" t="s">
        <v>294</v>
      </c>
      <c r="M10" s="128" t="s">
        <v>295</v>
      </c>
    </row>
    <row r="11" spans="1:13" x14ac:dyDescent="0.25">
      <c r="A11" s="129" t="s">
        <v>435</v>
      </c>
      <c r="B11" s="130" t="s">
        <v>436</v>
      </c>
      <c r="C11" s="131" t="s">
        <v>300</v>
      </c>
      <c r="D11" s="130">
        <f>1*1.05</f>
        <v>1.05</v>
      </c>
      <c r="E11" s="132">
        <f>'Conc. resist. norm'!$F$20</f>
        <v>12.551680586080586</v>
      </c>
      <c r="F11" s="132">
        <f>D11*E11</f>
        <v>13.179264615384616</v>
      </c>
      <c r="G11" s="133"/>
      <c r="H11" s="129" t="s">
        <v>437</v>
      </c>
      <c r="I11" s="130" t="s">
        <v>436</v>
      </c>
      <c r="J11" s="131" t="s">
        <v>300</v>
      </c>
      <c r="K11" s="130">
        <f>1*1.05</f>
        <v>1.05</v>
      </c>
      <c r="L11" s="132">
        <f>'Conc. resist. norm'!M20</f>
        <v>12.551680586080586</v>
      </c>
      <c r="M11" s="132">
        <f>K11*L11</f>
        <v>13.179264615384616</v>
      </c>
    </row>
    <row r="12" spans="1:13" x14ac:dyDescent="0.25">
      <c r="A12" s="129" t="s">
        <v>287</v>
      </c>
      <c r="B12" s="130" t="s">
        <v>438</v>
      </c>
      <c r="C12" s="131" t="s">
        <v>300</v>
      </c>
      <c r="D12" s="130">
        <f>0.8*1.2</f>
        <v>0.96</v>
      </c>
      <c r="E12" s="132">
        <f>'Precios de Mat.'!$B$16</f>
        <v>0</v>
      </c>
      <c r="F12" s="132">
        <f>D12*E12</f>
        <v>0</v>
      </c>
      <c r="G12" s="133"/>
      <c r="H12" s="129" t="s">
        <v>287</v>
      </c>
      <c r="I12" s="130" t="s">
        <v>438</v>
      </c>
      <c r="J12" s="131" t="s">
        <v>300</v>
      </c>
      <c r="K12" s="130">
        <f>0.8*1.2</f>
        <v>0.96</v>
      </c>
      <c r="L12" s="132">
        <f>'Precios de Mat.'!$B$16</f>
        <v>0</v>
      </c>
      <c r="M12" s="132">
        <f>K12*L12</f>
        <v>0</v>
      </c>
    </row>
    <row r="13" spans="1:13" x14ac:dyDescent="0.25">
      <c r="A13" s="129"/>
      <c r="B13" s="134"/>
      <c r="C13" s="131"/>
      <c r="D13" s="135"/>
      <c r="E13" s="132"/>
      <c r="F13" s="132"/>
      <c r="G13" s="133"/>
      <c r="H13" s="129"/>
      <c r="I13" s="134"/>
      <c r="J13" s="131"/>
      <c r="K13" s="135"/>
      <c r="L13" s="132"/>
      <c r="M13" s="132"/>
    </row>
    <row r="14" spans="1:13" x14ac:dyDescent="0.25">
      <c r="A14" s="129"/>
      <c r="B14" s="136"/>
      <c r="C14" s="131"/>
      <c r="D14" s="137"/>
      <c r="E14" s="132"/>
      <c r="F14" s="132"/>
      <c r="G14" s="133"/>
      <c r="H14" s="129"/>
      <c r="I14" s="136"/>
      <c r="J14" s="131"/>
      <c r="K14" s="137"/>
      <c r="L14" s="132"/>
      <c r="M14" s="132"/>
    </row>
    <row r="15" spans="1:13" x14ac:dyDescent="0.25">
      <c r="A15" s="270" t="s">
        <v>305</v>
      </c>
      <c r="B15" s="271"/>
      <c r="C15" s="271"/>
      <c r="D15" s="271"/>
      <c r="E15" s="272"/>
      <c r="F15" s="132">
        <f>F11+F12</f>
        <v>13.179264615384616</v>
      </c>
      <c r="G15" s="133"/>
      <c r="H15" s="270" t="s">
        <v>305</v>
      </c>
      <c r="I15" s="271"/>
      <c r="J15" s="271"/>
      <c r="K15" s="271"/>
      <c r="L15" s="272"/>
      <c r="M15" s="132">
        <f>M11+M12</f>
        <v>13.179264615384616</v>
      </c>
    </row>
    <row r="16" spans="1:13" x14ac:dyDescent="0.25">
      <c r="A16" s="283" t="s">
        <v>306</v>
      </c>
      <c r="B16" s="284"/>
      <c r="C16" s="284"/>
      <c r="D16" s="284"/>
      <c r="E16" s="284"/>
      <c r="F16" s="285"/>
      <c r="G16" s="133"/>
      <c r="H16" s="283" t="s">
        <v>306</v>
      </c>
      <c r="I16" s="284"/>
      <c r="J16" s="284"/>
      <c r="K16" s="284"/>
      <c r="L16" s="284"/>
      <c r="M16" s="285"/>
    </row>
    <row r="17" spans="1:13" x14ac:dyDescent="0.25">
      <c r="A17" s="266" t="s">
        <v>454</v>
      </c>
      <c r="B17" s="267"/>
      <c r="C17" s="130" t="s">
        <v>69</v>
      </c>
      <c r="D17" s="142">
        <f>1/8</f>
        <v>0.125</v>
      </c>
      <c r="E17" s="132">
        <f>Cuadrillas!$K$341</f>
        <v>0</v>
      </c>
      <c r="F17" s="132">
        <f>D17*E17</f>
        <v>0</v>
      </c>
      <c r="G17" s="133"/>
      <c r="H17" s="266" t="s">
        <v>454</v>
      </c>
      <c r="I17" s="267"/>
      <c r="J17" s="130" t="s">
        <v>69</v>
      </c>
      <c r="K17" s="142">
        <f>1/8</f>
        <v>0.125</v>
      </c>
      <c r="L17" s="132">
        <f>Cuadrillas!$K$341</f>
        <v>0</v>
      </c>
      <c r="M17" s="132">
        <f>K17*L17</f>
        <v>0</v>
      </c>
    </row>
    <row r="18" spans="1:13" x14ac:dyDescent="0.25">
      <c r="A18" s="266" t="s">
        <v>455</v>
      </c>
      <c r="B18" s="267"/>
      <c r="C18" s="130" t="s">
        <v>69</v>
      </c>
      <c r="D18" s="142">
        <f>0.0235*10</f>
        <v>0.23499999999999999</v>
      </c>
      <c r="E18" s="132">
        <f>Cuadrillas!$E$18</f>
        <v>0</v>
      </c>
      <c r="F18" s="132">
        <f>D18*E18</f>
        <v>0</v>
      </c>
      <c r="G18" s="133"/>
      <c r="H18" s="266" t="s">
        <v>455</v>
      </c>
      <c r="I18" s="267"/>
      <c r="J18" s="130" t="s">
        <v>69</v>
      </c>
      <c r="K18" s="142">
        <f>0.0235*10</f>
        <v>0.23499999999999999</v>
      </c>
      <c r="L18" s="132">
        <f>Cuadrillas!$E$18</f>
        <v>0</v>
      </c>
      <c r="M18" s="132">
        <f>K18*L18</f>
        <v>0</v>
      </c>
    </row>
    <row r="19" spans="1:13" x14ac:dyDescent="0.25">
      <c r="A19" s="129" t="s">
        <v>439</v>
      </c>
      <c r="B19" s="130"/>
      <c r="C19" s="130" t="s">
        <v>369</v>
      </c>
      <c r="D19" s="142">
        <f>4/8</f>
        <v>0.5</v>
      </c>
      <c r="E19" s="132">
        <f>Equipo!$I$114</f>
        <v>20.931172881355934</v>
      </c>
      <c r="F19" s="132">
        <f>D19*E19</f>
        <v>10.465586440677967</v>
      </c>
      <c r="G19" s="139"/>
      <c r="H19" s="129" t="s">
        <v>439</v>
      </c>
      <c r="I19" s="130"/>
      <c r="J19" s="130" t="s">
        <v>369</v>
      </c>
      <c r="K19" s="142">
        <f>4/8</f>
        <v>0.5</v>
      </c>
      <c r="L19" s="132">
        <f>Equipo!$I$114</f>
        <v>20.931172881355934</v>
      </c>
      <c r="M19" s="132">
        <f>K19*L19</f>
        <v>10.465586440677967</v>
      </c>
    </row>
    <row r="20" spans="1:13" x14ac:dyDescent="0.25">
      <c r="A20" s="270" t="s">
        <v>305</v>
      </c>
      <c r="B20" s="271"/>
      <c r="C20" s="271"/>
      <c r="D20" s="271"/>
      <c r="E20" s="272"/>
      <c r="F20" s="132">
        <f>F17+F18+F19</f>
        <v>10.465586440677967</v>
      </c>
      <c r="G20" s="139"/>
      <c r="H20" s="270" t="s">
        <v>305</v>
      </c>
      <c r="I20" s="271"/>
      <c r="J20" s="271"/>
      <c r="K20" s="271"/>
      <c r="L20" s="272"/>
      <c r="M20" s="132">
        <f>M17+M18+M19</f>
        <v>10.465586440677967</v>
      </c>
    </row>
    <row r="21" spans="1:13" x14ac:dyDescent="0.25">
      <c r="A21" s="273" t="s">
        <v>307</v>
      </c>
      <c r="B21" s="274"/>
      <c r="C21" s="271"/>
      <c r="D21" s="271"/>
      <c r="E21" s="272"/>
      <c r="F21" s="132">
        <f>F15+F20</f>
        <v>23.644851056062585</v>
      </c>
      <c r="G21" s="133"/>
      <c r="H21" s="273" t="s">
        <v>307</v>
      </c>
      <c r="I21" s="274"/>
      <c r="J21" s="271"/>
      <c r="K21" s="271"/>
      <c r="L21" s="272"/>
      <c r="M21" s="132">
        <f>M15+M20</f>
        <v>23.644851056062585</v>
      </c>
    </row>
    <row r="22" spans="1:13" x14ac:dyDescent="0.25">
      <c r="A22" s="133"/>
      <c r="B22" s="133"/>
      <c r="C22" s="140"/>
      <c r="D22" s="140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x14ac:dyDescent="0.25">
      <c r="A23" s="133"/>
      <c r="B23" s="133"/>
      <c r="C23" s="140"/>
      <c r="D23" s="140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3" x14ac:dyDescent="0.25">
      <c r="A24" s="275" t="s">
        <v>431</v>
      </c>
      <c r="B24" s="276"/>
      <c r="C24" s="276"/>
      <c r="D24" s="276"/>
      <c r="E24" s="276"/>
      <c r="F24" s="276"/>
      <c r="G24" s="133"/>
      <c r="H24" s="275" t="s">
        <v>431</v>
      </c>
      <c r="I24" s="276"/>
      <c r="J24" s="276"/>
      <c r="K24" s="276"/>
      <c r="L24" s="276"/>
      <c r="M24" s="276"/>
    </row>
    <row r="25" spans="1:13" x14ac:dyDescent="0.25">
      <c r="A25" s="277" t="s">
        <v>440</v>
      </c>
      <c r="B25" s="278"/>
      <c r="C25" s="278"/>
      <c r="D25" s="278"/>
      <c r="E25" s="278"/>
      <c r="F25" s="279"/>
      <c r="G25" s="140"/>
      <c r="H25" s="277" t="s">
        <v>441</v>
      </c>
      <c r="I25" s="278"/>
      <c r="J25" s="278"/>
      <c r="K25" s="278"/>
      <c r="L25" s="278"/>
      <c r="M25" s="279"/>
    </row>
    <row r="26" spans="1:13" x14ac:dyDescent="0.25">
      <c r="A26" s="280" t="s">
        <v>434</v>
      </c>
      <c r="B26" s="281"/>
      <c r="C26" s="281"/>
      <c r="D26" s="281"/>
      <c r="E26" s="281"/>
      <c r="F26" s="282"/>
      <c r="G26" s="140"/>
      <c r="H26" s="280" t="s">
        <v>434</v>
      </c>
      <c r="I26" s="281"/>
      <c r="J26" s="281"/>
      <c r="K26" s="281"/>
      <c r="L26" s="281"/>
      <c r="M26" s="282"/>
    </row>
    <row r="27" spans="1:13" x14ac:dyDescent="0.25">
      <c r="A27" s="268" t="s">
        <v>355</v>
      </c>
      <c r="B27" s="269"/>
      <c r="C27" s="128" t="s">
        <v>292</v>
      </c>
      <c r="D27" s="128" t="s">
        <v>293</v>
      </c>
      <c r="E27" s="128" t="s">
        <v>294</v>
      </c>
      <c r="F27" s="128" t="s">
        <v>295</v>
      </c>
      <c r="G27" s="133"/>
      <c r="H27" s="268" t="s">
        <v>355</v>
      </c>
      <c r="I27" s="269"/>
      <c r="J27" s="128" t="s">
        <v>292</v>
      </c>
      <c r="K27" s="128" t="s">
        <v>293</v>
      </c>
      <c r="L27" s="128" t="s">
        <v>294</v>
      </c>
      <c r="M27" s="128" t="s">
        <v>295</v>
      </c>
    </row>
    <row r="28" spans="1:13" x14ac:dyDescent="0.25">
      <c r="A28" s="129" t="s">
        <v>442</v>
      </c>
      <c r="B28" s="130" t="s">
        <v>436</v>
      </c>
      <c r="C28" s="131" t="s">
        <v>300</v>
      </c>
      <c r="D28" s="130">
        <f>1*1.05</f>
        <v>1.05</v>
      </c>
      <c r="E28" s="132">
        <f>'Conc. resist. norm'!F37</f>
        <v>12.551680586080586</v>
      </c>
      <c r="F28" s="132">
        <f>D28*E28</f>
        <v>13.179264615384616</v>
      </c>
      <c r="G28" s="133"/>
      <c r="H28" s="129" t="s">
        <v>443</v>
      </c>
      <c r="I28" s="130" t="s">
        <v>436</v>
      </c>
      <c r="J28" s="131" t="s">
        <v>300</v>
      </c>
      <c r="K28" s="130">
        <f>1*1.05</f>
        <v>1.05</v>
      </c>
      <c r="L28" s="132">
        <f>'Conc. resist. norm'!M37</f>
        <v>12.551680586080586</v>
      </c>
      <c r="M28" s="132">
        <f>K28*L28</f>
        <v>13.179264615384616</v>
      </c>
    </row>
    <row r="29" spans="1:13" x14ac:dyDescent="0.25">
      <c r="A29" s="129" t="s">
        <v>287</v>
      </c>
      <c r="B29" s="130" t="s">
        <v>438</v>
      </c>
      <c r="C29" s="131" t="s">
        <v>300</v>
      </c>
      <c r="D29" s="130">
        <f>0.8*1.2</f>
        <v>0.96</v>
      </c>
      <c r="E29" s="132">
        <f>'Precios de Mat.'!$B$16</f>
        <v>0</v>
      </c>
      <c r="F29" s="132">
        <f>D29*E29</f>
        <v>0</v>
      </c>
      <c r="G29" s="133"/>
      <c r="H29" s="129" t="s">
        <v>287</v>
      </c>
      <c r="I29" s="130" t="s">
        <v>438</v>
      </c>
      <c r="J29" s="131" t="s">
        <v>300</v>
      </c>
      <c r="K29" s="130">
        <f>0.8*1.2</f>
        <v>0.96</v>
      </c>
      <c r="L29" s="132">
        <f>'Precios de Mat.'!$B$16</f>
        <v>0</v>
      </c>
      <c r="M29" s="132">
        <f>K29*L29</f>
        <v>0</v>
      </c>
    </row>
    <row r="30" spans="1:13" x14ac:dyDescent="0.25">
      <c r="A30" s="129"/>
      <c r="B30" s="134"/>
      <c r="C30" s="131"/>
      <c r="D30" s="135"/>
      <c r="E30" s="132"/>
      <c r="F30" s="132"/>
      <c r="G30" s="133"/>
      <c r="H30" s="129"/>
      <c r="I30" s="134"/>
      <c r="J30" s="131"/>
      <c r="K30" s="135"/>
      <c r="L30" s="132"/>
      <c r="M30" s="132"/>
    </row>
    <row r="31" spans="1:13" x14ac:dyDescent="0.25">
      <c r="A31" s="129"/>
      <c r="B31" s="136"/>
      <c r="C31" s="131"/>
      <c r="D31" s="137"/>
      <c r="E31" s="132"/>
      <c r="F31" s="132"/>
      <c r="G31" s="133"/>
      <c r="H31" s="129"/>
      <c r="I31" s="136"/>
      <c r="J31" s="131"/>
      <c r="K31" s="137"/>
      <c r="L31" s="132"/>
      <c r="M31" s="132"/>
    </row>
    <row r="32" spans="1:13" x14ac:dyDescent="0.25">
      <c r="A32" s="270" t="s">
        <v>305</v>
      </c>
      <c r="B32" s="271"/>
      <c r="C32" s="271"/>
      <c r="D32" s="271"/>
      <c r="E32" s="272"/>
      <c r="F32" s="132">
        <f>F28+F29</f>
        <v>13.179264615384616</v>
      </c>
      <c r="G32" s="133"/>
      <c r="H32" s="270" t="s">
        <v>305</v>
      </c>
      <c r="I32" s="271"/>
      <c r="J32" s="271"/>
      <c r="K32" s="271"/>
      <c r="L32" s="272"/>
      <c r="M32" s="132">
        <f>M28+M29</f>
        <v>13.179264615384616</v>
      </c>
    </row>
    <row r="33" spans="1:13" x14ac:dyDescent="0.25">
      <c r="A33" s="283" t="s">
        <v>306</v>
      </c>
      <c r="B33" s="284"/>
      <c r="C33" s="284"/>
      <c r="D33" s="284"/>
      <c r="E33" s="284"/>
      <c r="F33" s="285"/>
      <c r="G33" s="133"/>
      <c r="H33" s="283" t="s">
        <v>306</v>
      </c>
      <c r="I33" s="284"/>
      <c r="J33" s="284"/>
      <c r="K33" s="284"/>
      <c r="L33" s="284"/>
      <c r="M33" s="285"/>
    </row>
    <row r="34" spans="1:13" x14ac:dyDescent="0.25">
      <c r="A34" s="266" t="s">
        <v>454</v>
      </c>
      <c r="B34" s="267"/>
      <c r="C34" s="130" t="s">
        <v>69</v>
      </c>
      <c r="D34" s="142">
        <f>1/8</f>
        <v>0.125</v>
      </c>
      <c r="E34" s="132">
        <f>Cuadrillas!$K$341</f>
        <v>0</v>
      </c>
      <c r="F34" s="132">
        <f>D34*E34</f>
        <v>0</v>
      </c>
      <c r="G34" s="133"/>
      <c r="H34" s="266" t="s">
        <v>454</v>
      </c>
      <c r="I34" s="267"/>
      <c r="J34" s="130" t="s">
        <v>69</v>
      </c>
      <c r="K34" s="142">
        <f>1/8</f>
        <v>0.125</v>
      </c>
      <c r="L34" s="132">
        <f>Cuadrillas!$K$341</f>
        <v>0</v>
      </c>
      <c r="M34" s="132">
        <f>K34*L34</f>
        <v>0</v>
      </c>
    </row>
    <row r="35" spans="1:13" x14ac:dyDescent="0.25">
      <c r="A35" s="266" t="s">
        <v>455</v>
      </c>
      <c r="B35" s="267"/>
      <c r="C35" s="130" t="s">
        <v>69</v>
      </c>
      <c r="D35" s="142">
        <f>0.0235*10</f>
        <v>0.23499999999999999</v>
      </c>
      <c r="E35" s="132">
        <f>Cuadrillas!$E$18</f>
        <v>0</v>
      </c>
      <c r="F35" s="132">
        <f>D35*E35</f>
        <v>0</v>
      </c>
      <c r="G35" s="133"/>
      <c r="H35" s="266" t="s">
        <v>455</v>
      </c>
      <c r="I35" s="267"/>
      <c r="J35" s="130" t="s">
        <v>69</v>
      </c>
      <c r="K35" s="142">
        <f>0.0235*10</f>
        <v>0.23499999999999999</v>
      </c>
      <c r="L35" s="132">
        <f>Cuadrillas!$E$18</f>
        <v>0</v>
      </c>
      <c r="M35" s="132">
        <f>K35*L35</f>
        <v>0</v>
      </c>
    </row>
    <row r="36" spans="1:13" x14ac:dyDescent="0.25">
      <c r="A36" s="129" t="s">
        <v>439</v>
      </c>
      <c r="B36" s="130"/>
      <c r="C36" s="130" t="s">
        <v>369</v>
      </c>
      <c r="D36" s="142">
        <f>4/8</f>
        <v>0.5</v>
      </c>
      <c r="E36" s="132">
        <f>Equipo!$I$114</f>
        <v>20.931172881355934</v>
      </c>
      <c r="F36" s="132">
        <f>D36*E36</f>
        <v>10.465586440677967</v>
      </c>
      <c r="G36" s="139"/>
      <c r="H36" s="129" t="s">
        <v>439</v>
      </c>
      <c r="I36" s="130"/>
      <c r="J36" s="130" t="s">
        <v>369</v>
      </c>
      <c r="K36" s="142">
        <f>4/8</f>
        <v>0.5</v>
      </c>
      <c r="L36" s="132">
        <f>Equipo!$I$114</f>
        <v>20.931172881355934</v>
      </c>
      <c r="M36" s="132">
        <f>K36*L36</f>
        <v>10.465586440677967</v>
      </c>
    </row>
    <row r="37" spans="1:13" x14ac:dyDescent="0.25">
      <c r="A37" s="270" t="s">
        <v>305</v>
      </c>
      <c r="B37" s="271"/>
      <c r="C37" s="271"/>
      <c r="D37" s="271"/>
      <c r="E37" s="272"/>
      <c r="F37" s="132">
        <f>F34+F35+F36</f>
        <v>10.465586440677967</v>
      </c>
      <c r="G37" s="139"/>
      <c r="H37" s="270" t="s">
        <v>305</v>
      </c>
      <c r="I37" s="271"/>
      <c r="J37" s="271"/>
      <c r="K37" s="271"/>
      <c r="L37" s="272"/>
      <c r="M37" s="132">
        <f>M34+M35+M36</f>
        <v>10.465586440677967</v>
      </c>
    </row>
    <row r="38" spans="1:13" x14ac:dyDescent="0.25">
      <c r="A38" s="273" t="s">
        <v>307</v>
      </c>
      <c r="B38" s="274"/>
      <c r="C38" s="271"/>
      <c r="D38" s="271"/>
      <c r="E38" s="272"/>
      <c r="F38" s="132">
        <f>F32+F37</f>
        <v>23.644851056062585</v>
      </c>
      <c r="G38" s="133"/>
      <c r="H38" s="273" t="s">
        <v>307</v>
      </c>
      <c r="I38" s="274"/>
      <c r="J38" s="271"/>
      <c r="K38" s="271"/>
      <c r="L38" s="272"/>
      <c r="M38" s="132">
        <f>M32+M37</f>
        <v>23.644851056062585</v>
      </c>
    </row>
    <row r="39" spans="1:13" x14ac:dyDescent="0.25">
      <c r="A39" s="133"/>
      <c r="B39" s="133"/>
      <c r="C39" s="133"/>
      <c r="D39" s="133"/>
      <c r="E39" s="133"/>
      <c r="F39" s="133"/>
      <c r="G39" s="141"/>
      <c r="H39" s="133"/>
      <c r="I39" s="133"/>
      <c r="J39" s="133"/>
      <c r="K39" s="133"/>
      <c r="L39" s="133"/>
      <c r="M39" s="133"/>
    </row>
    <row r="40" spans="1:13" x14ac:dyDescent="0.25">
      <c r="A40" s="133"/>
      <c r="B40" s="133"/>
      <c r="C40" s="133"/>
      <c r="D40" s="133"/>
      <c r="E40" s="133"/>
      <c r="F40" s="133"/>
      <c r="G40" s="141"/>
      <c r="H40" s="133"/>
      <c r="I40" s="133"/>
      <c r="J40" s="133"/>
      <c r="K40" s="133"/>
      <c r="L40" s="133"/>
      <c r="M40" s="133"/>
    </row>
    <row r="41" spans="1:13" x14ac:dyDescent="0.25">
      <c r="A41" s="275" t="s">
        <v>431</v>
      </c>
      <c r="B41" s="276"/>
      <c r="C41" s="276"/>
      <c r="D41" s="276"/>
      <c r="E41" s="276"/>
      <c r="F41" s="276"/>
      <c r="H41" s="275" t="s">
        <v>431</v>
      </c>
      <c r="I41" s="276"/>
      <c r="J41" s="276"/>
      <c r="K41" s="276"/>
      <c r="L41" s="276"/>
      <c r="M41" s="276"/>
    </row>
    <row r="42" spans="1:13" x14ac:dyDescent="0.25">
      <c r="A42" s="277" t="s">
        <v>444</v>
      </c>
      <c r="B42" s="278"/>
      <c r="C42" s="278"/>
      <c r="D42" s="278"/>
      <c r="E42" s="278"/>
      <c r="F42" s="279"/>
      <c r="G42" s="140"/>
      <c r="H42" s="277" t="s">
        <v>445</v>
      </c>
      <c r="I42" s="278"/>
      <c r="J42" s="278"/>
      <c r="K42" s="278"/>
      <c r="L42" s="278"/>
      <c r="M42" s="279"/>
    </row>
    <row r="43" spans="1:13" x14ac:dyDescent="0.25">
      <c r="A43" s="280" t="s">
        <v>434</v>
      </c>
      <c r="B43" s="281"/>
      <c r="C43" s="281"/>
      <c r="D43" s="281"/>
      <c r="E43" s="281"/>
      <c r="F43" s="282"/>
      <c r="G43" s="140"/>
      <c r="H43" s="280" t="s">
        <v>434</v>
      </c>
      <c r="I43" s="281"/>
      <c r="J43" s="281"/>
      <c r="K43" s="281"/>
      <c r="L43" s="281"/>
      <c r="M43" s="282"/>
    </row>
    <row r="44" spans="1:13" x14ac:dyDescent="0.25">
      <c r="A44" s="268" t="s">
        <v>355</v>
      </c>
      <c r="B44" s="269"/>
      <c r="C44" s="128" t="s">
        <v>292</v>
      </c>
      <c r="D44" s="128" t="s">
        <v>293</v>
      </c>
      <c r="E44" s="128" t="s">
        <v>294</v>
      </c>
      <c r="F44" s="128" t="s">
        <v>295</v>
      </c>
      <c r="G44" s="133"/>
      <c r="H44" s="268" t="s">
        <v>355</v>
      </c>
      <c r="I44" s="269"/>
      <c r="J44" s="128" t="s">
        <v>292</v>
      </c>
      <c r="K44" s="128" t="s">
        <v>293</v>
      </c>
      <c r="L44" s="128" t="s">
        <v>294</v>
      </c>
      <c r="M44" s="128" t="s">
        <v>295</v>
      </c>
    </row>
    <row r="45" spans="1:13" x14ac:dyDescent="0.25">
      <c r="A45" s="129" t="s">
        <v>446</v>
      </c>
      <c r="B45" s="130" t="s">
        <v>436</v>
      </c>
      <c r="C45" s="131" t="s">
        <v>300</v>
      </c>
      <c r="D45" s="130">
        <f>1*1.05</f>
        <v>1.05</v>
      </c>
      <c r="E45" s="132">
        <f>'Conc. resist. norm'!F54</f>
        <v>12.551680586080586</v>
      </c>
      <c r="F45" s="132">
        <f>D45*E45</f>
        <v>13.179264615384616</v>
      </c>
      <c r="G45" s="133"/>
      <c r="H45" s="129" t="s">
        <v>447</v>
      </c>
      <c r="I45" s="130" t="s">
        <v>436</v>
      </c>
      <c r="J45" s="131" t="s">
        <v>300</v>
      </c>
      <c r="K45" s="130">
        <f>1*1.05</f>
        <v>1.05</v>
      </c>
      <c r="L45" s="132">
        <f>'Conc. resist. norm'!M54</f>
        <v>12.551680586080586</v>
      </c>
      <c r="M45" s="132">
        <f>K45*L45</f>
        <v>13.179264615384616</v>
      </c>
    </row>
    <row r="46" spans="1:13" x14ac:dyDescent="0.25">
      <c r="A46" s="129" t="s">
        <v>287</v>
      </c>
      <c r="B46" s="130" t="s">
        <v>438</v>
      </c>
      <c r="C46" s="131" t="s">
        <v>300</v>
      </c>
      <c r="D46" s="130">
        <f>0.8*1.2</f>
        <v>0.96</v>
      </c>
      <c r="E46" s="132">
        <f>'Precios de Mat.'!$B$16</f>
        <v>0</v>
      </c>
      <c r="F46" s="132">
        <f>D46*E46</f>
        <v>0</v>
      </c>
      <c r="G46" s="133"/>
      <c r="H46" s="129" t="s">
        <v>287</v>
      </c>
      <c r="I46" s="130" t="s">
        <v>438</v>
      </c>
      <c r="J46" s="131" t="s">
        <v>300</v>
      </c>
      <c r="K46" s="130">
        <f>0.8*1.2</f>
        <v>0.96</v>
      </c>
      <c r="L46" s="132">
        <f>'Precios de Mat.'!$B$16</f>
        <v>0</v>
      </c>
      <c r="M46" s="132">
        <f>K46*L46</f>
        <v>0</v>
      </c>
    </row>
    <row r="47" spans="1:13" x14ac:dyDescent="0.25">
      <c r="A47" s="129"/>
      <c r="B47" s="134"/>
      <c r="C47" s="131"/>
      <c r="D47" s="135"/>
      <c r="E47" s="132"/>
      <c r="F47" s="132"/>
      <c r="G47" s="133"/>
      <c r="H47" s="129"/>
      <c r="I47" s="134"/>
      <c r="J47" s="131"/>
      <c r="K47" s="135"/>
      <c r="L47" s="132"/>
      <c r="M47" s="132"/>
    </row>
    <row r="48" spans="1:13" x14ac:dyDescent="0.25">
      <c r="A48" s="129"/>
      <c r="B48" s="136"/>
      <c r="C48" s="131"/>
      <c r="D48" s="137"/>
      <c r="E48" s="132"/>
      <c r="F48" s="132"/>
      <c r="G48" s="133"/>
      <c r="H48" s="129"/>
      <c r="I48" s="136"/>
      <c r="J48" s="131"/>
      <c r="K48" s="137"/>
      <c r="L48" s="132"/>
      <c r="M48" s="132"/>
    </row>
    <row r="49" spans="1:13" x14ac:dyDescent="0.25">
      <c r="A49" s="270" t="s">
        <v>305</v>
      </c>
      <c r="B49" s="271"/>
      <c r="C49" s="271"/>
      <c r="D49" s="271"/>
      <c r="E49" s="272"/>
      <c r="F49" s="132">
        <f>F45+F46</f>
        <v>13.179264615384616</v>
      </c>
      <c r="G49" s="133"/>
      <c r="H49" s="270" t="s">
        <v>305</v>
      </c>
      <c r="I49" s="271"/>
      <c r="J49" s="271"/>
      <c r="K49" s="271"/>
      <c r="L49" s="272"/>
      <c r="M49" s="132">
        <f>M45+M46</f>
        <v>13.179264615384616</v>
      </c>
    </row>
    <row r="50" spans="1:13" x14ac:dyDescent="0.25">
      <c r="A50" s="283" t="s">
        <v>306</v>
      </c>
      <c r="B50" s="284"/>
      <c r="C50" s="284"/>
      <c r="D50" s="284"/>
      <c r="E50" s="284"/>
      <c r="F50" s="285"/>
      <c r="G50" s="133"/>
      <c r="H50" s="283" t="s">
        <v>306</v>
      </c>
      <c r="I50" s="284"/>
      <c r="J50" s="284"/>
      <c r="K50" s="284"/>
      <c r="L50" s="284"/>
      <c r="M50" s="285"/>
    </row>
    <row r="51" spans="1:13" x14ac:dyDescent="0.25">
      <c r="A51" s="266" t="s">
        <v>454</v>
      </c>
      <c r="B51" s="267"/>
      <c r="C51" s="130" t="s">
        <v>69</v>
      </c>
      <c r="D51" s="142">
        <f>1/8</f>
        <v>0.125</v>
      </c>
      <c r="E51" s="132">
        <f>Cuadrillas!$K$341</f>
        <v>0</v>
      </c>
      <c r="F51" s="132">
        <f>D51*E51</f>
        <v>0</v>
      </c>
      <c r="G51" s="133"/>
      <c r="H51" s="266" t="s">
        <v>454</v>
      </c>
      <c r="I51" s="267"/>
      <c r="J51" s="130" t="s">
        <v>69</v>
      </c>
      <c r="K51" s="142">
        <f>1/8</f>
        <v>0.125</v>
      </c>
      <c r="L51" s="132">
        <f>Cuadrillas!$K$341</f>
        <v>0</v>
      </c>
      <c r="M51" s="132">
        <f>K51*L51</f>
        <v>0</v>
      </c>
    </row>
    <row r="52" spans="1:13" x14ac:dyDescent="0.25">
      <c r="A52" s="266" t="s">
        <v>455</v>
      </c>
      <c r="B52" s="267"/>
      <c r="C52" s="130" t="s">
        <v>69</v>
      </c>
      <c r="D52" s="142">
        <f>0.0235*10</f>
        <v>0.23499999999999999</v>
      </c>
      <c r="E52" s="132">
        <f>Cuadrillas!$E$18</f>
        <v>0</v>
      </c>
      <c r="F52" s="132">
        <f>D52*E52</f>
        <v>0</v>
      </c>
      <c r="G52" s="133"/>
      <c r="H52" s="266" t="s">
        <v>455</v>
      </c>
      <c r="I52" s="267"/>
      <c r="J52" s="130" t="s">
        <v>69</v>
      </c>
      <c r="K52" s="142">
        <f>0.0235*10</f>
        <v>0.23499999999999999</v>
      </c>
      <c r="L52" s="132">
        <f>Cuadrillas!$E$18</f>
        <v>0</v>
      </c>
      <c r="M52" s="132">
        <f>K52*L52</f>
        <v>0</v>
      </c>
    </row>
    <row r="53" spans="1:13" x14ac:dyDescent="0.25">
      <c r="A53" s="129" t="s">
        <v>439</v>
      </c>
      <c r="B53" s="130"/>
      <c r="C53" s="130" t="s">
        <v>369</v>
      </c>
      <c r="D53" s="142">
        <f>4/8</f>
        <v>0.5</v>
      </c>
      <c r="E53" s="132">
        <f>Equipo!$I$114</f>
        <v>20.931172881355934</v>
      </c>
      <c r="F53" s="132">
        <f>D53*E53</f>
        <v>10.465586440677967</v>
      </c>
      <c r="G53" s="139"/>
      <c r="H53" s="129" t="s">
        <v>439</v>
      </c>
      <c r="I53" s="130"/>
      <c r="J53" s="130" t="s">
        <v>369</v>
      </c>
      <c r="K53" s="142">
        <f>4/8</f>
        <v>0.5</v>
      </c>
      <c r="L53" s="132">
        <f>Equipo!$I$114</f>
        <v>20.931172881355934</v>
      </c>
      <c r="M53" s="132">
        <f>K53*L53</f>
        <v>10.465586440677967</v>
      </c>
    </row>
    <row r="54" spans="1:13" x14ac:dyDescent="0.25">
      <c r="A54" s="270" t="s">
        <v>305</v>
      </c>
      <c r="B54" s="271"/>
      <c r="C54" s="271"/>
      <c r="D54" s="271"/>
      <c r="E54" s="272"/>
      <c r="F54" s="132">
        <f>F51+F52+F53</f>
        <v>10.465586440677967</v>
      </c>
      <c r="G54" s="139"/>
      <c r="H54" s="270" t="s">
        <v>305</v>
      </c>
      <c r="I54" s="271"/>
      <c r="J54" s="271"/>
      <c r="K54" s="271"/>
      <c r="L54" s="272"/>
      <c r="M54" s="132">
        <f>M51+M52+M53</f>
        <v>10.465586440677967</v>
      </c>
    </row>
    <row r="55" spans="1:13" x14ac:dyDescent="0.25">
      <c r="A55" s="273" t="s">
        <v>307</v>
      </c>
      <c r="B55" s="274"/>
      <c r="C55" s="271"/>
      <c r="D55" s="271"/>
      <c r="E55" s="272"/>
      <c r="F55" s="132">
        <f>F49+F54</f>
        <v>23.644851056062585</v>
      </c>
      <c r="G55" s="133"/>
      <c r="H55" s="273" t="s">
        <v>307</v>
      </c>
      <c r="I55" s="274"/>
      <c r="J55" s="271"/>
      <c r="K55" s="271"/>
      <c r="L55" s="272"/>
      <c r="M55" s="132">
        <f>M49+M54</f>
        <v>23.644851056062585</v>
      </c>
    </row>
    <row r="56" spans="1:13" x14ac:dyDescent="0.25">
      <c r="A56" s="133"/>
      <c r="B56" s="133"/>
      <c r="C56" s="133"/>
      <c r="D56" s="133"/>
      <c r="E56" s="133"/>
      <c r="F56" s="133"/>
      <c r="G56" s="141"/>
      <c r="H56" s="133"/>
      <c r="I56" s="133"/>
      <c r="J56" s="133"/>
      <c r="K56" s="133"/>
      <c r="L56" s="133"/>
      <c r="M56" s="133"/>
    </row>
    <row r="57" spans="1:13" x14ac:dyDescent="0.25">
      <c r="A57" s="133"/>
      <c r="B57" s="133"/>
      <c r="C57" s="133"/>
      <c r="D57" s="133"/>
      <c r="E57" s="133"/>
      <c r="F57" s="133"/>
      <c r="G57" s="141"/>
      <c r="H57" s="133"/>
      <c r="I57" s="133"/>
      <c r="J57" s="133"/>
      <c r="K57" s="133"/>
      <c r="L57" s="133"/>
      <c r="M57" s="133"/>
    </row>
    <row r="58" spans="1:13" x14ac:dyDescent="0.25">
      <c r="A58" s="275" t="s">
        <v>431</v>
      </c>
      <c r="B58" s="276"/>
      <c r="C58" s="276"/>
      <c r="D58" s="276"/>
      <c r="E58" s="276"/>
      <c r="F58" s="276"/>
      <c r="G58" s="133"/>
      <c r="H58" s="275" t="s">
        <v>431</v>
      </c>
      <c r="I58" s="276"/>
      <c r="J58" s="276"/>
      <c r="K58" s="276"/>
      <c r="L58" s="276"/>
      <c r="M58" s="276"/>
    </row>
    <row r="59" spans="1:13" x14ac:dyDescent="0.25">
      <c r="A59" s="277" t="s">
        <v>448</v>
      </c>
      <c r="B59" s="278"/>
      <c r="C59" s="278"/>
      <c r="D59" s="278"/>
      <c r="E59" s="278"/>
      <c r="F59" s="279"/>
      <c r="G59" s="140"/>
      <c r="H59" s="277" t="s">
        <v>449</v>
      </c>
      <c r="I59" s="278"/>
      <c r="J59" s="278"/>
      <c r="K59" s="278"/>
      <c r="L59" s="278"/>
      <c r="M59" s="279"/>
    </row>
    <row r="60" spans="1:13" x14ac:dyDescent="0.25">
      <c r="A60" s="280" t="s">
        <v>434</v>
      </c>
      <c r="B60" s="281"/>
      <c r="C60" s="281"/>
      <c r="D60" s="281"/>
      <c r="E60" s="281"/>
      <c r="F60" s="282"/>
      <c r="G60" s="140"/>
      <c r="H60" s="280" t="s">
        <v>434</v>
      </c>
      <c r="I60" s="281"/>
      <c r="J60" s="281"/>
      <c r="K60" s="281"/>
      <c r="L60" s="281"/>
      <c r="M60" s="282"/>
    </row>
    <row r="61" spans="1:13" x14ac:dyDescent="0.25">
      <c r="A61" s="268" t="s">
        <v>355</v>
      </c>
      <c r="B61" s="269"/>
      <c r="C61" s="128" t="s">
        <v>292</v>
      </c>
      <c r="D61" s="128" t="s">
        <v>293</v>
      </c>
      <c r="E61" s="128" t="s">
        <v>294</v>
      </c>
      <c r="F61" s="128" t="s">
        <v>295</v>
      </c>
      <c r="G61" s="133"/>
      <c r="H61" s="268" t="s">
        <v>355</v>
      </c>
      <c r="I61" s="269"/>
      <c r="J61" s="128" t="s">
        <v>292</v>
      </c>
      <c r="K61" s="128" t="s">
        <v>293</v>
      </c>
      <c r="L61" s="128" t="s">
        <v>294</v>
      </c>
      <c r="M61" s="128" t="s">
        <v>295</v>
      </c>
    </row>
    <row r="62" spans="1:13" x14ac:dyDescent="0.25">
      <c r="A62" s="129" t="s">
        <v>450</v>
      </c>
      <c r="B62" s="130" t="s">
        <v>436</v>
      </c>
      <c r="C62" s="131" t="s">
        <v>300</v>
      </c>
      <c r="D62" s="130">
        <f>1*1.05</f>
        <v>1.05</v>
      </c>
      <c r="E62" s="132">
        <f>'Conc. resist. norm'!F71</f>
        <v>12.551680586080586</v>
      </c>
      <c r="F62" s="132">
        <f>D62*E62</f>
        <v>13.179264615384616</v>
      </c>
      <c r="G62" s="133"/>
      <c r="H62" s="129" t="s">
        <v>451</v>
      </c>
      <c r="I62" s="130" t="s">
        <v>436</v>
      </c>
      <c r="J62" s="131" t="s">
        <v>300</v>
      </c>
      <c r="K62" s="130">
        <f>1*1.05</f>
        <v>1.05</v>
      </c>
      <c r="L62" s="132">
        <f>'Conc. resist. norm'!M71</f>
        <v>12.551680586080586</v>
      </c>
      <c r="M62" s="132">
        <f>K62*L62</f>
        <v>13.179264615384616</v>
      </c>
    </row>
    <row r="63" spans="1:13" x14ac:dyDescent="0.25">
      <c r="A63" s="129" t="s">
        <v>287</v>
      </c>
      <c r="B63" s="130" t="s">
        <v>438</v>
      </c>
      <c r="C63" s="131" t="s">
        <v>300</v>
      </c>
      <c r="D63" s="130">
        <f>0.8*1.2</f>
        <v>0.96</v>
      </c>
      <c r="E63" s="132">
        <f>'Precios de Mat.'!$B$16</f>
        <v>0</v>
      </c>
      <c r="F63" s="132">
        <f>D63*E63</f>
        <v>0</v>
      </c>
      <c r="G63" s="133"/>
      <c r="H63" s="129" t="s">
        <v>287</v>
      </c>
      <c r="I63" s="130" t="s">
        <v>438</v>
      </c>
      <c r="J63" s="131" t="s">
        <v>300</v>
      </c>
      <c r="K63" s="130">
        <f>0.8*1.2</f>
        <v>0.96</v>
      </c>
      <c r="L63" s="132">
        <f>'Precios de Mat.'!$B$16</f>
        <v>0</v>
      </c>
      <c r="M63" s="132">
        <f>K63*L63</f>
        <v>0</v>
      </c>
    </row>
    <row r="64" spans="1:13" x14ac:dyDescent="0.25">
      <c r="A64" s="129"/>
      <c r="B64" s="134"/>
      <c r="C64" s="131"/>
      <c r="D64" s="135"/>
      <c r="E64" s="132"/>
      <c r="F64" s="132"/>
      <c r="G64" s="133"/>
      <c r="H64" s="129"/>
      <c r="I64" s="134"/>
      <c r="J64" s="131"/>
      <c r="K64" s="135"/>
      <c r="L64" s="132"/>
      <c r="M64" s="132"/>
    </row>
    <row r="65" spans="1:13" x14ac:dyDescent="0.25">
      <c r="A65" s="129"/>
      <c r="B65" s="136"/>
      <c r="C65" s="131"/>
      <c r="D65" s="137"/>
      <c r="E65" s="132"/>
      <c r="F65" s="132"/>
      <c r="G65" s="133"/>
      <c r="H65" s="129"/>
      <c r="I65" s="136"/>
      <c r="J65" s="131"/>
      <c r="K65" s="137"/>
      <c r="L65" s="132"/>
      <c r="M65" s="132"/>
    </row>
    <row r="66" spans="1:13" x14ac:dyDescent="0.25">
      <c r="A66" s="270" t="s">
        <v>305</v>
      </c>
      <c r="B66" s="271"/>
      <c r="C66" s="271"/>
      <c r="D66" s="271"/>
      <c r="E66" s="272"/>
      <c r="F66" s="132">
        <f>F62+F63</f>
        <v>13.179264615384616</v>
      </c>
      <c r="G66" s="133"/>
      <c r="H66" s="270" t="s">
        <v>305</v>
      </c>
      <c r="I66" s="271"/>
      <c r="J66" s="271"/>
      <c r="K66" s="271"/>
      <c r="L66" s="272"/>
      <c r="M66" s="132">
        <f>M62+M63</f>
        <v>13.179264615384616</v>
      </c>
    </row>
    <row r="67" spans="1:13" x14ac:dyDescent="0.25">
      <c r="A67" s="283" t="s">
        <v>306</v>
      </c>
      <c r="B67" s="284"/>
      <c r="C67" s="284"/>
      <c r="D67" s="284"/>
      <c r="E67" s="284"/>
      <c r="F67" s="285"/>
      <c r="G67" s="133"/>
      <c r="H67" s="283" t="s">
        <v>306</v>
      </c>
      <c r="I67" s="284"/>
      <c r="J67" s="284"/>
      <c r="K67" s="284"/>
      <c r="L67" s="284"/>
      <c r="M67" s="285"/>
    </row>
    <row r="68" spans="1:13" x14ac:dyDescent="0.25">
      <c r="A68" s="266" t="s">
        <v>454</v>
      </c>
      <c r="B68" s="267"/>
      <c r="C68" s="130" t="s">
        <v>69</v>
      </c>
      <c r="D68" s="142">
        <f>1/8</f>
        <v>0.125</v>
      </c>
      <c r="E68" s="132">
        <f>Cuadrillas!$K$341</f>
        <v>0</v>
      </c>
      <c r="F68" s="132">
        <f>D68*E68</f>
        <v>0</v>
      </c>
      <c r="G68" s="133"/>
      <c r="H68" s="266" t="s">
        <v>454</v>
      </c>
      <c r="I68" s="267"/>
      <c r="J68" s="130" t="s">
        <v>69</v>
      </c>
      <c r="K68" s="142">
        <f>1/8</f>
        <v>0.125</v>
      </c>
      <c r="L68" s="132">
        <f>Cuadrillas!$K$341</f>
        <v>0</v>
      </c>
      <c r="M68" s="132">
        <f>K68*L68</f>
        <v>0</v>
      </c>
    </row>
    <row r="69" spans="1:13" x14ac:dyDescent="0.25">
      <c r="A69" s="266" t="s">
        <v>455</v>
      </c>
      <c r="B69" s="267"/>
      <c r="C69" s="130" t="s">
        <v>69</v>
      </c>
      <c r="D69" s="142">
        <f>0.0235*10</f>
        <v>0.23499999999999999</v>
      </c>
      <c r="E69" s="132">
        <f>Cuadrillas!$E$18</f>
        <v>0</v>
      </c>
      <c r="F69" s="132">
        <f>D69*E69</f>
        <v>0</v>
      </c>
      <c r="G69" s="133"/>
      <c r="H69" s="266" t="s">
        <v>455</v>
      </c>
      <c r="I69" s="267"/>
      <c r="J69" s="130" t="s">
        <v>69</v>
      </c>
      <c r="K69" s="142">
        <f>0.0235*10</f>
        <v>0.23499999999999999</v>
      </c>
      <c r="L69" s="132">
        <f>Cuadrillas!$E$18</f>
        <v>0</v>
      </c>
      <c r="M69" s="132">
        <f>K69*L69</f>
        <v>0</v>
      </c>
    </row>
    <row r="70" spans="1:13" x14ac:dyDescent="0.25">
      <c r="A70" s="129" t="s">
        <v>439</v>
      </c>
      <c r="B70" s="130"/>
      <c r="C70" s="130" t="s">
        <v>369</v>
      </c>
      <c r="D70" s="142">
        <f>4/8</f>
        <v>0.5</v>
      </c>
      <c r="E70" s="132">
        <f>Equipo!$I$114</f>
        <v>20.931172881355934</v>
      </c>
      <c r="F70" s="132">
        <f>D70*E70</f>
        <v>10.465586440677967</v>
      </c>
      <c r="G70" s="139"/>
      <c r="H70" s="129" t="s">
        <v>439</v>
      </c>
      <c r="I70" s="130"/>
      <c r="J70" s="130" t="s">
        <v>369</v>
      </c>
      <c r="K70" s="142">
        <f>4/8</f>
        <v>0.5</v>
      </c>
      <c r="L70" s="132">
        <f>Equipo!$I$114</f>
        <v>20.931172881355934</v>
      </c>
      <c r="M70" s="132">
        <f>K70*L70</f>
        <v>10.465586440677967</v>
      </c>
    </row>
    <row r="71" spans="1:13" x14ac:dyDescent="0.25">
      <c r="A71" s="270" t="s">
        <v>305</v>
      </c>
      <c r="B71" s="271"/>
      <c r="C71" s="271"/>
      <c r="D71" s="271"/>
      <c r="E71" s="272"/>
      <c r="F71" s="132">
        <f>F68+F69+F70</f>
        <v>10.465586440677967</v>
      </c>
      <c r="G71" s="139"/>
      <c r="H71" s="270" t="s">
        <v>305</v>
      </c>
      <c r="I71" s="271"/>
      <c r="J71" s="271"/>
      <c r="K71" s="271"/>
      <c r="L71" s="272"/>
      <c r="M71" s="132">
        <f>M68+M69+M70</f>
        <v>10.465586440677967</v>
      </c>
    </row>
    <row r="72" spans="1:13" x14ac:dyDescent="0.25">
      <c r="A72" s="273" t="s">
        <v>307</v>
      </c>
      <c r="B72" s="274"/>
      <c r="C72" s="271"/>
      <c r="D72" s="271"/>
      <c r="E72" s="272"/>
      <c r="F72" s="132">
        <f>F66+F71</f>
        <v>23.644851056062585</v>
      </c>
      <c r="G72" s="133"/>
      <c r="H72" s="273" t="s">
        <v>307</v>
      </c>
      <c r="I72" s="274"/>
      <c r="J72" s="271"/>
      <c r="K72" s="271"/>
      <c r="L72" s="272"/>
      <c r="M72" s="132">
        <f>M66+M71</f>
        <v>23.644851056062585</v>
      </c>
    </row>
    <row r="73" spans="1:13" x14ac:dyDescent="0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3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</row>
    <row r="75" spans="1:13" x14ac:dyDescent="0.25">
      <c r="A75" s="275" t="s">
        <v>431</v>
      </c>
      <c r="B75" s="276"/>
      <c r="C75" s="276"/>
      <c r="D75" s="276"/>
      <c r="E75" s="276"/>
      <c r="F75" s="276"/>
      <c r="G75" s="141"/>
      <c r="H75" s="141"/>
      <c r="I75" s="141"/>
      <c r="J75" s="141"/>
      <c r="K75" s="141"/>
      <c r="L75" s="141"/>
      <c r="M75" s="141"/>
    </row>
    <row r="76" spans="1:13" x14ac:dyDescent="0.25">
      <c r="A76" s="277" t="s">
        <v>452</v>
      </c>
      <c r="B76" s="278"/>
      <c r="C76" s="278"/>
      <c r="D76" s="278"/>
      <c r="E76" s="278"/>
      <c r="F76" s="279"/>
      <c r="G76" s="141"/>
      <c r="H76" s="141"/>
      <c r="I76" s="141"/>
      <c r="J76" s="141"/>
      <c r="K76" s="141"/>
      <c r="L76" s="141"/>
      <c r="M76" s="141"/>
    </row>
    <row r="77" spans="1:13" x14ac:dyDescent="0.25">
      <c r="A77" s="280" t="s">
        <v>434</v>
      </c>
      <c r="B77" s="281"/>
      <c r="C77" s="281"/>
      <c r="D77" s="281"/>
      <c r="E77" s="281"/>
      <c r="F77" s="282"/>
      <c r="G77" s="141"/>
      <c r="H77" s="141"/>
      <c r="I77" s="141"/>
      <c r="J77" s="141"/>
      <c r="K77" s="141"/>
      <c r="L77" s="141"/>
      <c r="M77" s="141"/>
    </row>
    <row r="78" spans="1:13" x14ac:dyDescent="0.25">
      <c r="A78" s="268" t="s">
        <v>355</v>
      </c>
      <c r="B78" s="269"/>
      <c r="C78" s="128" t="s">
        <v>292</v>
      </c>
      <c r="D78" s="128" t="s">
        <v>293</v>
      </c>
      <c r="E78" s="128" t="s">
        <v>294</v>
      </c>
      <c r="F78" s="128" t="s">
        <v>295</v>
      </c>
      <c r="G78" s="141"/>
      <c r="H78" s="141"/>
      <c r="I78" s="141"/>
      <c r="J78" s="141"/>
      <c r="K78" s="141"/>
      <c r="L78" s="141"/>
      <c r="M78" s="141"/>
    </row>
    <row r="79" spans="1:13" x14ac:dyDescent="0.25">
      <c r="A79" s="129" t="s">
        <v>453</v>
      </c>
      <c r="B79" s="130" t="s">
        <v>436</v>
      </c>
      <c r="C79" s="131" t="s">
        <v>300</v>
      </c>
      <c r="D79" s="130">
        <f>1*1.05</f>
        <v>1.05</v>
      </c>
      <c r="E79" s="132">
        <f>'Conc. resist. norm'!F88</f>
        <v>12.551680586080586</v>
      </c>
      <c r="F79" s="132">
        <f>D79*E79</f>
        <v>13.179264615384616</v>
      </c>
      <c r="G79" s="141"/>
      <c r="H79" s="141"/>
      <c r="I79" s="141"/>
      <c r="J79" s="141"/>
      <c r="K79" s="141"/>
      <c r="L79" s="141"/>
      <c r="M79" s="141"/>
    </row>
    <row r="80" spans="1:13" x14ac:dyDescent="0.25">
      <c r="A80" s="129" t="s">
        <v>287</v>
      </c>
      <c r="B80" s="130" t="s">
        <v>438</v>
      </c>
      <c r="C80" s="131" t="s">
        <v>300</v>
      </c>
      <c r="D80" s="130">
        <f>0.8*1.2</f>
        <v>0.96</v>
      </c>
      <c r="E80" s="132">
        <f>'Precios de Mat.'!$B$16</f>
        <v>0</v>
      </c>
      <c r="F80" s="132">
        <f>D80*E80</f>
        <v>0</v>
      </c>
      <c r="G80" s="141"/>
      <c r="H80" s="141"/>
      <c r="I80" s="141"/>
      <c r="J80" s="141"/>
      <c r="K80" s="141"/>
      <c r="L80" s="141"/>
      <c r="M80" s="141"/>
    </row>
    <row r="81" spans="1:13" x14ac:dyDescent="0.25">
      <c r="A81" s="129"/>
      <c r="B81" s="134"/>
      <c r="C81" s="131"/>
      <c r="D81" s="135"/>
      <c r="E81" s="132"/>
      <c r="F81" s="132"/>
      <c r="G81" s="141"/>
      <c r="H81" s="141"/>
      <c r="I81" s="141"/>
      <c r="J81" s="141"/>
      <c r="K81" s="141"/>
      <c r="L81" s="141"/>
      <c r="M81" s="141"/>
    </row>
    <row r="82" spans="1:13" x14ac:dyDescent="0.25">
      <c r="A82" s="129"/>
      <c r="B82" s="136"/>
      <c r="C82" s="131"/>
      <c r="D82" s="137"/>
      <c r="E82" s="132"/>
      <c r="F82" s="132"/>
      <c r="G82" s="141"/>
      <c r="H82" s="141"/>
      <c r="I82" s="141"/>
      <c r="J82" s="141"/>
      <c r="K82" s="141"/>
      <c r="L82" s="141"/>
      <c r="M82" s="141"/>
    </row>
    <row r="83" spans="1:13" x14ac:dyDescent="0.25">
      <c r="A83" s="270" t="s">
        <v>305</v>
      </c>
      <c r="B83" s="271"/>
      <c r="C83" s="271"/>
      <c r="D83" s="271"/>
      <c r="E83" s="272"/>
      <c r="F83" s="132">
        <f>F79+F80</f>
        <v>13.179264615384616</v>
      </c>
      <c r="G83" s="141"/>
      <c r="H83" s="141"/>
      <c r="I83" s="141"/>
      <c r="J83" s="141"/>
      <c r="K83" s="141"/>
      <c r="L83" s="141"/>
      <c r="M83" s="141"/>
    </row>
    <row r="84" spans="1:13" x14ac:dyDescent="0.25">
      <c r="A84" s="283" t="s">
        <v>306</v>
      </c>
      <c r="B84" s="284"/>
      <c r="C84" s="284"/>
      <c r="D84" s="284"/>
      <c r="E84" s="284"/>
      <c r="F84" s="285"/>
      <c r="G84" s="141"/>
      <c r="H84" s="141"/>
      <c r="I84" s="141"/>
      <c r="J84" s="141"/>
      <c r="K84" s="141"/>
      <c r="L84" s="141"/>
      <c r="M84" s="141"/>
    </row>
    <row r="85" spans="1:13" x14ac:dyDescent="0.25">
      <c r="A85" s="266" t="s">
        <v>454</v>
      </c>
      <c r="B85" s="267"/>
      <c r="C85" s="130" t="s">
        <v>69</v>
      </c>
      <c r="D85" s="142">
        <f>1/8</f>
        <v>0.125</v>
      </c>
      <c r="E85" s="132">
        <f>Cuadrillas!$K$341</f>
        <v>0</v>
      </c>
      <c r="F85" s="132">
        <f>D85*E85</f>
        <v>0</v>
      </c>
      <c r="G85" s="141"/>
      <c r="H85" s="141"/>
      <c r="I85" s="141"/>
      <c r="J85" s="141"/>
      <c r="K85" s="141"/>
      <c r="L85" s="141"/>
      <c r="M85" s="141"/>
    </row>
    <row r="86" spans="1:13" x14ac:dyDescent="0.25">
      <c r="A86" s="266" t="s">
        <v>455</v>
      </c>
      <c r="B86" s="267"/>
      <c r="C86" s="130" t="s">
        <v>69</v>
      </c>
      <c r="D86" s="142">
        <f>0.0235*10</f>
        <v>0.23499999999999999</v>
      </c>
      <c r="E86" s="132">
        <f>Cuadrillas!$E$18</f>
        <v>0</v>
      </c>
      <c r="F86" s="132">
        <f>D86*E86</f>
        <v>0</v>
      </c>
      <c r="G86" s="141"/>
      <c r="H86" s="141"/>
      <c r="I86" s="141"/>
      <c r="J86" s="141"/>
      <c r="K86" s="141"/>
      <c r="L86" s="141"/>
      <c r="M86" s="141"/>
    </row>
    <row r="87" spans="1:13" x14ac:dyDescent="0.25">
      <c r="A87" s="129" t="s">
        <v>439</v>
      </c>
      <c r="B87" s="130"/>
      <c r="C87" s="130" t="s">
        <v>369</v>
      </c>
      <c r="D87" s="142">
        <f>4/8</f>
        <v>0.5</v>
      </c>
      <c r="E87" s="132">
        <f>Equipo!$I$114</f>
        <v>20.931172881355934</v>
      </c>
      <c r="F87" s="132">
        <f>D87*E87</f>
        <v>10.465586440677967</v>
      </c>
      <c r="G87" s="141"/>
      <c r="H87" s="141"/>
      <c r="I87" s="141"/>
      <c r="J87" s="141"/>
      <c r="K87" s="141"/>
      <c r="L87" s="141"/>
      <c r="M87" s="141"/>
    </row>
    <row r="88" spans="1:13" x14ac:dyDescent="0.25">
      <c r="A88" s="270" t="s">
        <v>305</v>
      </c>
      <c r="B88" s="271"/>
      <c r="C88" s="271"/>
      <c r="D88" s="271"/>
      <c r="E88" s="272"/>
      <c r="F88" s="132">
        <f>F85+F86+F87</f>
        <v>10.465586440677967</v>
      </c>
      <c r="G88" s="141"/>
      <c r="H88" s="141"/>
      <c r="I88" s="141"/>
      <c r="J88" s="141"/>
      <c r="K88" s="141"/>
      <c r="L88" s="141"/>
      <c r="M88" s="141"/>
    </row>
    <row r="89" spans="1:13" x14ac:dyDescent="0.25">
      <c r="A89" s="273" t="s">
        <v>307</v>
      </c>
      <c r="B89" s="274"/>
      <c r="C89" s="271"/>
      <c r="D89" s="271"/>
      <c r="E89" s="272"/>
      <c r="F89" s="132">
        <f>F83+F88</f>
        <v>23.644851056062585</v>
      </c>
      <c r="G89" s="141"/>
      <c r="H89" s="141"/>
      <c r="I89" s="141"/>
      <c r="J89" s="141"/>
      <c r="K89" s="141"/>
      <c r="L89" s="141"/>
      <c r="M89" s="141"/>
    </row>
    <row r="90" spans="1:13" x14ac:dyDescent="0.2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</sheetData>
  <mergeCells count="94">
    <mergeCell ref="A7:F7"/>
    <mergeCell ref="H7:M7"/>
    <mergeCell ref="A8:F8"/>
    <mergeCell ref="H8:M8"/>
    <mergeCell ref="A9:F9"/>
    <mergeCell ref="H9:M9"/>
    <mergeCell ref="A10:B10"/>
    <mergeCell ref="H10:I10"/>
    <mergeCell ref="A15:E15"/>
    <mergeCell ref="H15:L15"/>
    <mergeCell ref="A16:F16"/>
    <mergeCell ref="H16:M16"/>
    <mergeCell ref="A20:E20"/>
    <mergeCell ref="H20:L20"/>
    <mergeCell ref="A21:E21"/>
    <mergeCell ref="H21:L21"/>
    <mergeCell ref="A24:F24"/>
    <mergeCell ref="H24:M24"/>
    <mergeCell ref="A25:F25"/>
    <mergeCell ref="H25:M25"/>
    <mergeCell ref="A26:F26"/>
    <mergeCell ref="H26:M26"/>
    <mergeCell ref="A27:B27"/>
    <mergeCell ref="H27:I27"/>
    <mergeCell ref="A32:E32"/>
    <mergeCell ref="H32:L32"/>
    <mergeCell ref="A33:F33"/>
    <mergeCell ref="H33:M33"/>
    <mergeCell ref="A37:E37"/>
    <mergeCell ref="H37:L37"/>
    <mergeCell ref="A38:E38"/>
    <mergeCell ref="H38:L38"/>
    <mergeCell ref="A41:F41"/>
    <mergeCell ref="H41:M41"/>
    <mergeCell ref="A42:F42"/>
    <mergeCell ref="H42:M42"/>
    <mergeCell ref="A43:F43"/>
    <mergeCell ref="H43:M43"/>
    <mergeCell ref="A44:B44"/>
    <mergeCell ref="H44:I44"/>
    <mergeCell ref="A49:E49"/>
    <mergeCell ref="H49:L49"/>
    <mergeCell ref="A55:E55"/>
    <mergeCell ref="H55:L55"/>
    <mergeCell ref="A51:B51"/>
    <mergeCell ref="A52:B52"/>
    <mergeCell ref="H51:I51"/>
    <mergeCell ref="H52:I52"/>
    <mergeCell ref="A89:E89"/>
    <mergeCell ref="A85:B85"/>
    <mergeCell ref="A86:B86"/>
    <mergeCell ref="A71:E71"/>
    <mergeCell ref="H71:L71"/>
    <mergeCell ref="A72:E72"/>
    <mergeCell ref="H72:L72"/>
    <mergeCell ref="A75:F75"/>
    <mergeCell ref="A76:F76"/>
    <mergeCell ref="A77:F77"/>
    <mergeCell ref="A78:B78"/>
    <mergeCell ref="A83:E83"/>
    <mergeCell ref="A84:F84"/>
    <mergeCell ref="A88:E88"/>
    <mergeCell ref="A69:B69"/>
    <mergeCell ref="H68:I68"/>
    <mergeCell ref="H69:I69"/>
    <mergeCell ref="A17:B17"/>
    <mergeCell ref="A18:B18"/>
    <mergeCell ref="H17:I17"/>
    <mergeCell ref="H18:I18"/>
    <mergeCell ref="A34:B34"/>
    <mergeCell ref="A35:B35"/>
    <mergeCell ref="H34:I34"/>
    <mergeCell ref="H35:I35"/>
    <mergeCell ref="A61:B61"/>
    <mergeCell ref="H61:I61"/>
    <mergeCell ref="A66:E66"/>
    <mergeCell ref="H66:L66"/>
    <mergeCell ref="A67:F67"/>
    <mergeCell ref="A1:M1"/>
    <mergeCell ref="A2:M2"/>
    <mergeCell ref="A3:M3"/>
    <mergeCell ref="A4:M4"/>
    <mergeCell ref="A68:B68"/>
    <mergeCell ref="H67:M67"/>
    <mergeCell ref="A58:F58"/>
    <mergeCell ref="H58:M58"/>
    <mergeCell ref="A59:F59"/>
    <mergeCell ref="H59:M59"/>
    <mergeCell ref="A60:F60"/>
    <mergeCell ref="H60:M60"/>
    <mergeCell ref="A50:F50"/>
    <mergeCell ref="H50:M50"/>
    <mergeCell ref="A54:E54"/>
    <mergeCell ref="H54:L54"/>
  </mergeCells>
  <phoneticPr fontId="0" type="noConversion"/>
  <pageMargins left="0.75" right="0.75" top="0.23" bottom="1" header="0" footer="0"/>
  <pageSetup scale="70" orientation="portrait" horizontalDpi="4294967293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90"/>
  <sheetViews>
    <sheetView zoomScaleNormal="100" workbookViewId="0">
      <selection activeCell="E5" sqref="E5"/>
    </sheetView>
  </sheetViews>
  <sheetFormatPr baseColWidth="10" defaultRowHeight="13.2" x14ac:dyDescent="0.25"/>
  <cols>
    <col min="7" max="7" width="3.6640625" customWidth="1"/>
  </cols>
  <sheetData>
    <row r="1" spans="1:13" ht="23.4" x14ac:dyDescent="0.25">
      <c r="A1" s="199" t="s">
        <v>559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</row>
    <row r="2" spans="1:13" x14ac:dyDescent="0.25">
      <c r="A2" s="200" t="s">
        <v>560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</row>
    <row r="3" spans="1:13" x14ac:dyDescent="0.25">
      <c r="A3" s="200" t="s">
        <v>562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</row>
    <row r="4" spans="1:13" x14ac:dyDescent="0.25">
      <c r="A4" s="200" t="s">
        <v>561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</row>
    <row r="5" spans="1:13" x14ac:dyDescent="0.25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</row>
    <row r="6" spans="1:13" ht="15.6" x14ac:dyDescent="0.3">
      <c r="A6" s="286" t="s">
        <v>456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</row>
    <row r="7" spans="1:13" x14ac:dyDescent="0.25">
      <c r="A7" s="143"/>
      <c r="B7" s="143"/>
      <c r="C7" s="143"/>
      <c r="D7" s="143"/>
      <c r="E7" s="143"/>
      <c r="F7" s="143"/>
      <c r="G7" s="126"/>
      <c r="H7" s="143"/>
      <c r="I7" s="143"/>
      <c r="J7" s="143"/>
      <c r="K7" s="143"/>
      <c r="L7" s="143"/>
      <c r="M7" s="143"/>
    </row>
    <row r="8" spans="1:13" x14ac:dyDescent="0.25">
      <c r="A8" s="277" t="s">
        <v>457</v>
      </c>
      <c r="B8" s="278"/>
      <c r="C8" s="278"/>
      <c r="D8" s="278"/>
      <c r="E8" s="278"/>
      <c r="F8" s="279"/>
      <c r="G8" s="127"/>
      <c r="H8" s="277" t="s">
        <v>459</v>
      </c>
      <c r="I8" s="278"/>
      <c r="J8" s="278"/>
      <c r="K8" s="278"/>
      <c r="L8" s="278"/>
      <c r="M8" s="279"/>
    </row>
    <row r="9" spans="1:13" x14ac:dyDescent="0.25">
      <c r="A9" s="280" t="s">
        <v>458</v>
      </c>
      <c r="B9" s="281"/>
      <c r="C9" s="281"/>
      <c r="D9" s="281"/>
      <c r="E9" s="281"/>
      <c r="F9" s="282"/>
      <c r="G9" s="127"/>
      <c r="H9" s="280" t="s">
        <v>458</v>
      </c>
      <c r="I9" s="281"/>
      <c r="J9" s="281"/>
      <c r="K9" s="281"/>
      <c r="L9" s="281"/>
      <c r="M9" s="282"/>
    </row>
    <row r="10" spans="1:13" x14ac:dyDescent="0.25">
      <c r="A10" s="268" t="s">
        <v>355</v>
      </c>
      <c r="B10" s="269"/>
      <c r="C10" s="128" t="s">
        <v>292</v>
      </c>
      <c r="D10" s="128" t="s">
        <v>293</v>
      </c>
      <c r="E10" s="128" t="s">
        <v>294</v>
      </c>
      <c r="F10" s="128" t="s">
        <v>295</v>
      </c>
      <c r="G10" s="126"/>
      <c r="H10" s="268" t="s">
        <v>355</v>
      </c>
      <c r="I10" s="269"/>
      <c r="J10" s="128" t="s">
        <v>292</v>
      </c>
      <c r="K10" s="128" t="s">
        <v>293</v>
      </c>
      <c r="L10" s="128" t="s">
        <v>294</v>
      </c>
      <c r="M10" s="128" t="s">
        <v>295</v>
      </c>
    </row>
    <row r="11" spans="1:13" x14ac:dyDescent="0.25">
      <c r="A11" s="129" t="s">
        <v>435</v>
      </c>
      <c r="B11" s="130" t="s">
        <v>436</v>
      </c>
      <c r="C11" s="131" t="s">
        <v>300</v>
      </c>
      <c r="D11" s="130">
        <f>1*1.05</f>
        <v>1.05</v>
      </c>
      <c r="E11" s="132">
        <f>'Conc. Imp'!F20</f>
        <v>12.551680586080586</v>
      </c>
      <c r="F11" s="132">
        <f>D11*E11</f>
        <v>13.179264615384616</v>
      </c>
      <c r="G11" s="133"/>
      <c r="H11" s="129" t="s">
        <v>437</v>
      </c>
      <c r="I11" s="130" t="s">
        <v>436</v>
      </c>
      <c r="J11" s="131" t="s">
        <v>300</v>
      </c>
      <c r="K11" s="130">
        <f>1*1.05</f>
        <v>1.05</v>
      </c>
      <c r="L11" s="132">
        <f>'Conc. Imp'!M20</f>
        <v>12.551680586080586</v>
      </c>
      <c r="M11" s="132">
        <f>K11*L11</f>
        <v>13.179264615384616</v>
      </c>
    </row>
    <row r="12" spans="1:13" x14ac:dyDescent="0.25">
      <c r="A12" s="129" t="s">
        <v>287</v>
      </c>
      <c r="B12" s="130" t="s">
        <v>438</v>
      </c>
      <c r="C12" s="131" t="s">
        <v>300</v>
      </c>
      <c r="D12" s="130">
        <f>0.8*1.2</f>
        <v>0.96</v>
      </c>
      <c r="E12" s="132">
        <f>'Precios de Mat.'!$B$16</f>
        <v>0</v>
      </c>
      <c r="F12" s="132">
        <f>D12*E12</f>
        <v>0</v>
      </c>
      <c r="G12" s="133"/>
      <c r="H12" s="129" t="s">
        <v>287</v>
      </c>
      <c r="I12" s="130" t="s">
        <v>438</v>
      </c>
      <c r="J12" s="131" t="s">
        <v>300</v>
      </c>
      <c r="K12" s="130">
        <f>0.8*1.2</f>
        <v>0.96</v>
      </c>
      <c r="L12" s="132">
        <f>'Precios de Mat.'!$B$16</f>
        <v>0</v>
      </c>
      <c r="M12" s="132">
        <f>K12*L12</f>
        <v>0</v>
      </c>
    </row>
    <row r="13" spans="1:13" x14ac:dyDescent="0.25">
      <c r="A13" s="129"/>
      <c r="B13" s="134"/>
      <c r="C13" s="131"/>
      <c r="D13" s="135"/>
      <c r="E13" s="132"/>
      <c r="F13" s="132"/>
      <c r="G13" s="133"/>
      <c r="H13" s="129"/>
      <c r="I13" s="134"/>
      <c r="J13" s="131"/>
      <c r="K13" s="135"/>
      <c r="L13" s="132"/>
      <c r="M13" s="132"/>
    </row>
    <row r="14" spans="1:13" x14ac:dyDescent="0.25">
      <c r="A14" s="129"/>
      <c r="B14" s="136"/>
      <c r="C14" s="131"/>
      <c r="D14" s="137"/>
      <c r="E14" s="132"/>
      <c r="F14" s="132"/>
      <c r="G14" s="133"/>
      <c r="H14" s="129"/>
      <c r="I14" s="136"/>
      <c r="J14" s="131"/>
      <c r="K14" s="137"/>
      <c r="L14" s="132"/>
      <c r="M14" s="132"/>
    </row>
    <row r="15" spans="1:13" x14ac:dyDescent="0.25">
      <c r="A15" s="270" t="s">
        <v>305</v>
      </c>
      <c r="B15" s="271"/>
      <c r="C15" s="271"/>
      <c r="D15" s="271"/>
      <c r="E15" s="272"/>
      <c r="F15" s="132">
        <f>F11+F12</f>
        <v>13.179264615384616</v>
      </c>
      <c r="G15" s="133"/>
      <c r="H15" s="270" t="s">
        <v>305</v>
      </c>
      <c r="I15" s="271"/>
      <c r="J15" s="271"/>
      <c r="K15" s="271"/>
      <c r="L15" s="272"/>
      <c r="M15" s="132">
        <f>M11+M12</f>
        <v>13.179264615384616</v>
      </c>
    </row>
    <row r="16" spans="1:13" x14ac:dyDescent="0.25">
      <c r="A16" s="283" t="s">
        <v>306</v>
      </c>
      <c r="B16" s="284"/>
      <c r="C16" s="284"/>
      <c r="D16" s="284"/>
      <c r="E16" s="284"/>
      <c r="F16" s="285"/>
      <c r="G16" s="133"/>
      <c r="H16" s="283" t="s">
        <v>306</v>
      </c>
      <c r="I16" s="284"/>
      <c r="J16" s="284"/>
      <c r="K16" s="284"/>
      <c r="L16" s="284"/>
      <c r="M16" s="285"/>
    </row>
    <row r="17" spans="1:13" x14ac:dyDescent="0.25">
      <c r="A17" s="266" t="s">
        <v>454</v>
      </c>
      <c r="B17" s="267"/>
      <c r="C17" s="130" t="s">
        <v>69</v>
      </c>
      <c r="D17" s="142">
        <f>1/8</f>
        <v>0.125</v>
      </c>
      <c r="E17" s="132">
        <f>Cuadrillas!$K$341</f>
        <v>0</v>
      </c>
      <c r="F17" s="132">
        <f>D17*E17</f>
        <v>0</v>
      </c>
      <c r="G17" s="133"/>
      <c r="H17" s="266" t="s">
        <v>454</v>
      </c>
      <c r="I17" s="267"/>
      <c r="J17" s="130" t="s">
        <v>69</v>
      </c>
      <c r="K17" s="142">
        <f>1/8</f>
        <v>0.125</v>
      </c>
      <c r="L17" s="132">
        <f>Cuadrillas!$K$341</f>
        <v>0</v>
      </c>
      <c r="M17" s="132">
        <f>K17*L17</f>
        <v>0</v>
      </c>
    </row>
    <row r="18" spans="1:13" x14ac:dyDescent="0.25">
      <c r="A18" s="266" t="s">
        <v>455</v>
      </c>
      <c r="B18" s="267"/>
      <c r="C18" s="130" t="s">
        <v>69</v>
      </c>
      <c r="D18" s="142">
        <f>0.0235*10</f>
        <v>0.23499999999999999</v>
      </c>
      <c r="E18" s="132">
        <f>Cuadrillas!$E$18</f>
        <v>0</v>
      </c>
      <c r="F18" s="132">
        <f>D18*E18</f>
        <v>0</v>
      </c>
      <c r="G18" s="133"/>
      <c r="H18" s="266" t="s">
        <v>455</v>
      </c>
      <c r="I18" s="267"/>
      <c r="J18" s="130" t="s">
        <v>69</v>
      </c>
      <c r="K18" s="142">
        <f>0.0235*10</f>
        <v>0.23499999999999999</v>
      </c>
      <c r="L18" s="132">
        <f>Cuadrillas!$E$18</f>
        <v>0</v>
      </c>
      <c r="M18" s="132">
        <f>K18*L18</f>
        <v>0</v>
      </c>
    </row>
    <row r="19" spans="1:13" x14ac:dyDescent="0.25">
      <c r="A19" s="129" t="s">
        <v>439</v>
      </c>
      <c r="B19" s="130"/>
      <c r="C19" s="130" t="s">
        <v>369</v>
      </c>
      <c r="D19" s="142">
        <f>4/8</f>
        <v>0.5</v>
      </c>
      <c r="E19" s="132">
        <f>Equipo!$I$114</f>
        <v>20.931172881355934</v>
      </c>
      <c r="F19" s="132">
        <f>D19*E19</f>
        <v>10.465586440677967</v>
      </c>
      <c r="G19" s="139"/>
      <c r="H19" s="129" t="s">
        <v>439</v>
      </c>
      <c r="I19" s="130"/>
      <c r="J19" s="130" t="s">
        <v>369</v>
      </c>
      <c r="K19" s="142">
        <f>4/8</f>
        <v>0.5</v>
      </c>
      <c r="L19" s="132">
        <f>Equipo!$I$114</f>
        <v>20.931172881355934</v>
      </c>
      <c r="M19" s="132">
        <f>K19*L19</f>
        <v>10.465586440677967</v>
      </c>
    </row>
    <row r="20" spans="1:13" x14ac:dyDescent="0.25">
      <c r="A20" s="270" t="s">
        <v>305</v>
      </c>
      <c r="B20" s="271"/>
      <c r="C20" s="271"/>
      <c r="D20" s="271"/>
      <c r="E20" s="272"/>
      <c r="F20" s="132">
        <f>F17+F18+F19</f>
        <v>10.465586440677967</v>
      </c>
      <c r="G20" s="139"/>
      <c r="H20" s="270" t="s">
        <v>305</v>
      </c>
      <c r="I20" s="271"/>
      <c r="J20" s="271"/>
      <c r="K20" s="271"/>
      <c r="L20" s="272"/>
      <c r="M20" s="132">
        <f>M17+M18+M19</f>
        <v>10.465586440677967</v>
      </c>
    </row>
    <row r="21" spans="1:13" x14ac:dyDescent="0.25">
      <c r="A21" s="273" t="s">
        <v>307</v>
      </c>
      <c r="B21" s="274"/>
      <c r="C21" s="271"/>
      <c r="D21" s="271"/>
      <c r="E21" s="272"/>
      <c r="F21" s="132">
        <f>F15+F20</f>
        <v>23.644851056062585</v>
      </c>
      <c r="G21" s="133"/>
      <c r="H21" s="273" t="s">
        <v>307</v>
      </c>
      <c r="I21" s="274"/>
      <c r="J21" s="271"/>
      <c r="K21" s="271"/>
      <c r="L21" s="272"/>
      <c r="M21" s="132">
        <f>M15+M20</f>
        <v>23.644851056062585</v>
      </c>
    </row>
    <row r="22" spans="1:13" x14ac:dyDescent="0.25">
      <c r="A22" s="133"/>
      <c r="B22" s="133"/>
      <c r="C22" s="140"/>
      <c r="D22" s="140"/>
      <c r="E22" s="133"/>
      <c r="F22" s="133"/>
      <c r="G22" s="133"/>
      <c r="H22" s="133"/>
      <c r="I22" s="133"/>
      <c r="J22" s="133"/>
      <c r="K22" s="133"/>
      <c r="L22" s="133"/>
      <c r="M22" s="133"/>
    </row>
    <row r="23" spans="1:13" x14ac:dyDescent="0.25">
      <c r="A23" s="133"/>
      <c r="B23" s="133"/>
      <c r="C23" s="140"/>
      <c r="D23" s="140"/>
      <c r="E23" s="133"/>
      <c r="F23" s="133"/>
      <c r="G23" s="133"/>
      <c r="H23" s="133"/>
      <c r="I23" s="133"/>
      <c r="J23" s="133"/>
      <c r="K23" s="133"/>
      <c r="L23" s="133"/>
      <c r="M23" s="133"/>
    </row>
    <row r="24" spans="1:13" x14ac:dyDescent="0.25">
      <c r="A24" s="144"/>
      <c r="B24" s="144"/>
      <c r="C24" s="145"/>
      <c r="D24" s="145"/>
      <c r="E24" s="144"/>
      <c r="F24" s="144"/>
      <c r="G24" s="133"/>
      <c r="H24" s="144"/>
      <c r="I24" s="144"/>
      <c r="J24" s="144"/>
      <c r="K24" s="144"/>
      <c r="L24" s="144"/>
      <c r="M24" s="144"/>
    </row>
    <row r="25" spans="1:13" x14ac:dyDescent="0.25">
      <c r="A25" s="277" t="s">
        <v>461</v>
      </c>
      <c r="B25" s="278"/>
      <c r="C25" s="278"/>
      <c r="D25" s="278"/>
      <c r="E25" s="278"/>
      <c r="F25" s="279"/>
      <c r="G25" s="140"/>
      <c r="H25" s="277" t="s">
        <v>460</v>
      </c>
      <c r="I25" s="278"/>
      <c r="J25" s="278"/>
      <c r="K25" s="278"/>
      <c r="L25" s="278"/>
      <c r="M25" s="279"/>
    </row>
    <row r="26" spans="1:13" x14ac:dyDescent="0.25">
      <c r="A26" s="280" t="s">
        <v>458</v>
      </c>
      <c r="B26" s="281"/>
      <c r="C26" s="281"/>
      <c r="D26" s="281"/>
      <c r="E26" s="281"/>
      <c r="F26" s="282"/>
      <c r="G26" s="140"/>
      <c r="H26" s="280" t="s">
        <v>458</v>
      </c>
      <c r="I26" s="281"/>
      <c r="J26" s="281"/>
      <c r="K26" s="281"/>
      <c r="L26" s="281"/>
      <c r="M26" s="282"/>
    </row>
    <row r="27" spans="1:13" x14ac:dyDescent="0.25">
      <c r="A27" s="268" t="s">
        <v>355</v>
      </c>
      <c r="B27" s="269"/>
      <c r="C27" s="128" t="s">
        <v>292</v>
      </c>
      <c r="D27" s="128" t="s">
        <v>293</v>
      </c>
      <c r="E27" s="128" t="s">
        <v>294</v>
      </c>
      <c r="F27" s="128" t="s">
        <v>295</v>
      </c>
      <c r="G27" s="133"/>
      <c r="H27" s="268" t="s">
        <v>355</v>
      </c>
      <c r="I27" s="269"/>
      <c r="J27" s="128" t="s">
        <v>292</v>
      </c>
      <c r="K27" s="128" t="s">
        <v>293</v>
      </c>
      <c r="L27" s="128" t="s">
        <v>294</v>
      </c>
      <c r="M27" s="128" t="s">
        <v>295</v>
      </c>
    </row>
    <row r="28" spans="1:13" x14ac:dyDescent="0.25">
      <c r="A28" s="129" t="s">
        <v>442</v>
      </c>
      <c r="B28" s="130" t="s">
        <v>436</v>
      </c>
      <c r="C28" s="131" t="s">
        <v>300</v>
      </c>
      <c r="D28" s="130">
        <f>1*1.05</f>
        <v>1.05</v>
      </c>
      <c r="E28" s="132">
        <f>'Conc. Imp'!F37</f>
        <v>12.551680586080586</v>
      </c>
      <c r="F28" s="132">
        <f>D28*E28</f>
        <v>13.179264615384616</v>
      </c>
      <c r="G28" s="133"/>
      <c r="H28" s="129" t="s">
        <v>443</v>
      </c>
      <c r="I28" s="130" t="s">
        <v>436</v>
      </c>
      <c r="J28" s="131" t="s">
        <v>300</v>
      </c>
      <c r="K28" s="130">
        <f>1*1.05</f>
        <v>1.05</v>
      </c>
      <c r="L28" s="132">
        <f>'Conc. Imp'!M37</f>
        <v>12.551680586080586</v>
      </c>
      <c r="M28" s="132">
        <f>K28*L28</f>
        <v>13.179264615384616</v>
      </c>
    </row>
    <row r="29" spans="1:13" x14ac:dyDescent="0.25">
      <c r="A29" s="129" t="s">
        <v>287</v>
      </c>
      <c r="B29" s="130" t="s">
        <v>438</v>
      </c>
      <c r="C29" s="131" t="s">
        <v>300</v>
      </c>
      <c r="D29" s="130">
        <f>0.8*1.2</f>
        <v>0.96</v>
      </c>
      <c r="E29" s="132">
        <f>'Precios de Mat.'!$B$16</f>
        <v>0</v>
      </c>
      <c r="F29" s="132">
        <f>D29*E29</f>
        <v>0</v>
      </c>
      <c r="G29" s="133"/>
      <c r="H29" s="129" t="s">
        <v>287</v>
      </c>
      <c r="I29" s="130" t="s">
        <v>438</v>
      </c>
      <c r="J29" s="131" t="s">
        <v>300</v>
      </c>
      <c r="K29" s="130">
        <f>0.8*1.2</f>
        <v>0.96</v>
      </c>
      <c r="L29" s="132">
        <f>'Precios de Mat.'!$B$16</f>
        <v>0</v>
      </c>
      <c r="M29" s="132">
        <f>K29*L29</f>
        <v>0</v>
      </c>
    </row>
    <row r="30" spans="1:13" x14ac:dyDescent="0.25">
      <c r="A30" s="129"/>
      <c r="B30" s="134"/>
      <c r="C30" s="131"/>
      <c r="D30" s="135"/>
      <c r="E30" s="132"/>
      <c r="F30" s="132"/>
      <c r="G30" s="133"/>
      <c r="H30" s="129"/>
      <c r="I30" s="134"/>
      <c r="J30" s="131"/>
      <c r="K30" s="135"/>
      <c r="L30" s="132"/>
      <c r="M30" s="132"/>
    </row>
    <row r="31" spans="1:13" x14ac:dyDescent="0.25">
      <c r="A31" s="129"/>
      <c r="B31" s="136"/>
      <c r="C31" s="131"/>
      <c r="D31" s="137"/>
      <c r="E31" s="132"/>
      <c r="F31" s="132"/>
      <c r="G31" s="133"/>
      <c r="H31" s="129"/>
      <c r="I31" s="136"/>
      <c r="J31" s="131"/>
      <c r="K31" s="137"/>
      <c r="L31" s="132"/>
      <c r="M31" s="132"/>
    </row>
    <row r="32" spans="1:13" x14ac:dyDescent="0.25">
      <c r="A32" s="270" t="s">
        <v>305</v>
      </c>
      <c r="B32" s="271"/>
      <c r="C32" s="271"/>
      <c r="D32" s="271"/>
      <c r="E32" s="272"/>
      <c r="F32" s="132">
        <f>F28+F29</f>
        <v>13.179264615384616</v>
      </c>
      <c r="G32" s="133"/>
      <c r="H32" s="270" t="s">
        <v>305</v>
      </c>
      <c r="I32" s="271"/>
      <c r="J32" s="271"/>
      <c r="K32" s="271"/>
      <c r="L32" s="272"/>
      <c r="M32" s="132">
        <f>M28+M29</f>
        <v>13.179264615384616</v>
      </c>
    </row>
    <row r="33" spans="1:13" x14ac:dyDescent="0.25">
      <c r="A33" s="283" t="s">
        <v>306</v>
      </c>
      <c r="B33" s="284"/>
      <c r="C33" s="284"/>
      <c r="D33" s="284"/>
      <c r="E33" s="284"/>
      <c r="F33" s="285"/>
      <c r="G33" s="133"/>
      <c r="H33" s="283" t="s">
        <v>306</v>
      </c>
      <c r="I33" s="284"/>
      <c r="J33" s="284"/>
      <c r="K33" s="284"/>
      <c r="L33" s="284"/>
      <c r="M33" s="285"/>
    </row>
    <row r="34" spans="1:13" x14ac:dyDescent="0.25">
      <c r="A34" s="266" t="s">
        <v>454</v>
      </c>
      <c r="B34" s="267"/>
      <c r="C34" s="130" t="s">
        <v>69</v>
      </c>
      <c r="D34" s="142">
        <f>1/8</f>
        <v>0.125</v>
      </c>
      <c r="E34" s="132">
        <f>Cuadrillas!$K$341</f>
        <v>0</v>
      </c>
      <c r="F34" s="132">
        <f>D34*E34</f>
        <v>0</v>
      </c>
      <c r="G34" s="133"/>
      <c r="H34" s="266" t="s">
        <v>454</v>
      </c>
      <c r="I34" s="267"/>
      <c r="J34" s="130" t="s">
        <v>69</v>
      </c>
      <c r="K34" s="142">
        <f>1/8</f>
        <v>0.125</v>
      </c>
      <c r="L34" s="132">
        <f>Cuadrillas!$K$341</f>
        <v>0</v>
      </c>
      <c r="M34" s="132">
        <f>K34*L34</f>
        <v>0</v>
      </c>
    </row>
    <row r="35" spans="1:13" x14ac:dyDescent="0.25">
      <c r="A35" s="266" t="s">
        <v>455</v>
      </c>
      <c r="B35" s="267"/>
      <c r="C35" s="130" t="s">
        <v>69</v>
      </c>
      <c r="D35" s="142">
        <f>0.0235*10</f>
        <v>0.23499999999999999</v>
      </c>
      <c r="E35" s="132">
        <f>Cuadrillas!$E$18</f>
        <v>0</v>
      </c>
      <c r="F35" s="132">
        <f>D35*E35</f>
        <v>0</v>
      </c>
      <c r="G35" s="133"/>
      <c r="H35" s="266" t="s">
        <v>455</v>
      </c>
      <c r="I35" s="267"/>
      <c r="J35" s="130" t="s">
        <v>69</v>
      </c>
      <c r="K35" s="142">
        <f>0.0235*10</f>
        <v>0.23499999999999999</v>
      </c>
      <c r="L35" s="132">
        <f>Cuadrillas!$E$18</f>
        <v>0</v>
      </c>
      <c r="M35" s="132">
        <f>K35*L35</f>
        <v>0</v>
      </c>
    </row>
    <row r="36" spans="1:13" x14ac:dyDescent="0.25">
      <c r="A36" s="129" t="s">
        <v>439</v>
      </c>
      <c r="B36" s="130"/>
      <c r="C36" s="130" t="s">
        <v>369</v>
      </c>
      <c r="D36" s="142">
        <f>4/8</f>
        <v>0.5</v>
      </c>
      <c r="E36" s="132">
        <f>Equipo!$I$114</f>
        <v>20.931172881355934</v>
      </c>
      <c r="F36" s="132">
        <f>D36*E36</f>
        <v>10.465586440677967</v>
      </c>
      <c r="G36" s="139"/>
      <c r="H36" s="129" t="s">
        <v>439</v>
      </c>
      <c r="I36" s="130"/>
      <c r="J36" s="130" t="s">
        <v>369</v>
      </c>
      <c r="K36" s="142">
        <f>4/8</f>
        <v>0.5</v>
      </c>
      <c r="L36" s="132">
        <f>Equipo!$I$114</f>
        <v>20.931172881355934</v>
      </c>
      <c r="M36" s="132">
        <f>K36*L36</f>
        <v>10.465586440677967</v>
      </c>
    </row>
    <row r="37" spans="1:13" x14ac:dyDescent="0.25">
      <c r="A37" s="270" t="s">
        <v>305</v>
      </c>
      <c r="B37" s="271"/>
      <c r="C37" s="271"/>
      <c r="D37" s="271"/>
      <c r="E37" s="272"/>
      <c r="F37" s="132">
        <f>F34+F35+F36</f>
        <v>10.465586440677967</v>
      </c>
      <c r="G37" s="139"/>
      <c r="H37" s="270" t="s">
        <v>305</v>
      </c>
      <c r="I37" s="271"/>
      <c r="J37" s="271"/>
      <c r="K37" s="271"/>
      <c r="L37" s="272"/>
      <c r="M37" s="132">
        <f>M34+M35+M36</f>
        <v>10.465586440677967</v>
      </c>
    </row>
    <row r="38" spans="1:13" x14ac:dyDescent="0.25">
      <c r="A38" s="273" t="s">
        <v>307</v>
      </c>
      <c r="B38" s="274"/>
      <c r="C38" s="271"/>
      <c r="D38" s="271"/>
      <c r="E38" s="272"/>
      <c r="F38" s="132">
        <f>F32+F37</f>
        <v>23.644851056062585</v>
      </c>
      <c r="G38" s="133"/>
      <c r="H38" s="273" t="s">
        <v>307</v>
      </c>
      <c r="I38" s="274"/>
      <c r="J38" s="271"/>
      <c r="K38" s="271"/>
      <c r="L38" s="272"/>
      <c r="M38" s="132">
        <f>M32+M37</f>
        <v>23.644851056062585</v>
      </c>
    </row>
    <row r="39" spans="1:13" x14ac:dyDescent="0.25">
      <c r="A39" s="133"/>
      <c r="B39" s="133"/>
      <c r="C39" s="133"/>
      <c r="D39" s="133"/>
      <c r="E39" s="133"/>
      <c r="F39" s="133"/>
      <c r="G39" s="141"/>
      <c r="H39" s="133"/>
      <c r="I39" s="133"/>
      <c r="J39" s="133"/>
      <c r="K39" s="133"/>
      <c r="L39" s="133"/>
      <c r="M39" s="133"/>
    </row>
    <row r="40" spans="1:13" x14ac:dyDescent="0.25">
      <c r="A40" s="133"/>
      <c r="B40" s="133"/>
      <c r="C40" s="133"/>
      <c r="D40" s="133"/>
      <c r="E40" s="133"/>
      <c r="F40" s="133"/>
      <c r="G40" s="141"/>
      <c r="H40" s="133"/>
      <c r="I40" s="133"/>
      <c r="J40" s="133"/>
      <c r="K40" s="133"/>
      <c r="L40" s="133"/>
      <c r="M40" s="133"/>
    </row>
    <row r="41" spans="1:13" x14ac:dyDescent="0.25">
      <c r="A41" s="144"/>
      <c r="B41" s="144"/>
      <c r="C41" s="144"/>
      <c r="D41" s="144"/>
      <c r="E41" s="144"/>
      <c r="F41" s="144"/>
      <c r="G41" s="141"/>
      <c r="H41" s="144"/>
      <c r="I41" s="144"/>
      <c r="J41" s="144"/>
      <c r="K41" s="144"/>
      <c r="L41" s="144"/>
      <c r="M41" s="144"/>
    </row>
    <row r="42" spans="1:13" x14ac:dyDescent="0.25">
      <c r="A42" s="277" t="s">
        <v>463</v>
      </c>
      <c r="B42" s="278"/>
      <c r="C42" s="278"/>
      <c r="D42" s="278"/>
      <c r="E42" s="278"/>
      <c r="F42" s="279"/>
      <c r="G42" s="140"/>
      <c r="H42" s="277" t="s">
        <v>462</v>
      </c>
      <c r="I42" s="278"/>
      <c r="J42" s="278"/>
      <c r="K42" s="278"/>
      <c r="L42" s="278"/>
      <c r="M42" s="279"/>
    </row>
    <row r="43" spans="1:13" x14ac:dyDescent="0.25">
      <c r="A43" s="280" t="s">
        <v>458</v>
      </c>
      <c r="B43" s="281"/>
      <c r="C43" s="281"/>
      <c r="D43" s="281"/>
      <c r="E43" s="281"/>
      <c r="F43" s="282"/>
      <c r="G43" s="140"/>
      <c r="H43" s="280" t="s">
        <v>458</v>
      </c>
      <c r="I43" s="281"/>
      <c r="J43" s="281"/>
      <c r="K43" s="281"/>
      <c r="L43" s="281"/>
      <c r="M43" s="282"/>
    </row>
    <row r="44" spans="1:13" x14ac:dyDescent="0.25">
      <c r="A44" s="268" t="s">
        <v>355</v>
      </c>
      <c r="B44" s="269"/>
      <c r="C44" s="128" t="s">
        <v>292</v>
      </c>
      <c r="D44" s="128" t="s">
        <v>293</v>
      </c>
      <c r="E44" s="128" t="s">
        <v>294</v>
      </c>
      <c r="F44" s="128" t="s">
        <v>295</v>
      </c>
      <c r="G44" s="133"/>
      <c r="H44" s="268" t="s">
        <v>355</v>
      </c>
      <c r="I44" s="269"/>
      <c r="J44" s="128" t="s">
        <v>292</v>
      </c>
      <c r="K44" s="128" t="s">
        <v>293</v>
      </c>
      <c r="L44" s="128" t="s">
        <v>294</v>
      </c>
      <c r="M44" s="128" t="s">
        <v>295</v>
      </c>
    </row>
    <row r="45" spans="1:13" x14ac:dyDescent="0.25">
      <c r="A45" s="129" t="s">
        <v>446</v>
      </c>
      <c r="B45" s="130" t="s">
        <v>436</v>
      </c>
      <c r="C45" s="131" t="s">
        <v>300</v>
      </c>
      <c r="D45" s="130">
        <f>1*1.05</f>
        <v>1.05</v>
      </c>
      <c r="E45" s="132">
        <f>'Conc. Imp'!F54</f>
        <v>12.551680586080586</v>
      </c>
      <c r="F45" s="132">
        <f>D45*E45</f>
        <v>13.179264615384616</v>
      </c>
      <c r="G45" s="133"/>
      <c r="H45" s="129" t="s">
        <v>447</v>
      </c>
      <c r="I45" s="130" t="s">
        <v>436</v>
      </c>
      <c r="J45" s="131" t="s">
        <v>300</v>
      </c>
      <c r="K45" s="130">
        <f>1*1.05</f>
        <v>1.05</v>
      </c>
      <c r="L45" s="132">
        <f>'Conc. Imp'!M54</f>
        <v>12.551680586080586</v>
      </c>
      <c r="M45" s="132">
        <f>K45*L45</f>
        <v>13.179264615384616</v>
      </c>
    </row>
    <row r="46" spans="1:13" x14ac:dyDescent="0.25">
      <c r="A46" s="129" t="s">
        <v>287</v>
      </c>
      <c r="B46" s="130" t="s">
        <v>438</v>
      </c>
      <c r="C46" s="131" t="s">
        <v>300</v>
      </c>
      <c r="D46" s="130">
        <f>0.8*1.2</f>
        <v>0.96</v>
      </c>
      <c r="E46" s="132">
        <f>'Precios de Mat.'!$B$16</f>
        <v>0</v>
      </c>
      <c r="F46" s="132">
        <f>D46*E46</f>
        <v>0</v>
      </c>
      <c r="G46" s="133"/>
      <c r="H46" s="129" t="s">
        <v>287</v>
      </c>
      <c r="I46" s="130" t="s">
        <v>438</v>
      </c>
      <c r="J46" s="131" t="s">
        <v>300</v>
      </c>
      <c r="K46" s="130">
        <f>0.8*1.2</f>
        <v>0.96</v>
      </c>
      <c r="L46" s="132">
        <f>'Precios de Mat.'!$B$16</f>
        <v>0</v>
      </c>
      <c r="M46" s="132">
        <f>K46*L46</f>
        <v>0</v>
      </c>
    </row>
    <row r="47" spans="1:13" x14ac:dyDescent="0.25">
      <c r="A47" s="129"/>
      <c r="B47" s="134"/>
      <c r="C47" s="131"/>
      <c r="D47" s="135"/>
      <c r="E47" s="132"/>
      <c r="F47" s="132"/>
      <c r="G47" s="133"/>
      <c r="H47" s="129"/>
      <c r="I47" s="134"/>
      <c r="J47" s="131"/>
      <c r="K47" s="135"/>
      <c r="L47" s="132"/>
      <c r="M47" s="132"/>
    </row>
    <row r="48" spans="1:13" x14ac:dyDescent="0.25">
      <c r="A48" s="129"/>
      <c r="B48" s="136"/>
      <c r="C48" s="131"/>
      <c r="D48" s="137"/>
      <c r="E48" s="132"/>
      <c r="F48" s="132"/>
      <c r="G48" s="133"/>
      <c r="H48" s="129"/>
      <c r="I48" s="136"/>
      <c r="J48" s="131"/>
      <c r="K48" s="137"/>
      <c r="L48" s="132"/>
      <c r="M48" s="132"/>
    </row>
    <row r="49" spans="1:13" x14ac:dyDescent="0.25">
      <c r="A49" s="270" t="s">
        <v>305</v>
      </c>
      <c r="B49" s="271"/>
      <c r="C49" s="271"/>
      <c r="D49" s="271"/>
      <c r="E49" s="272"/>
      <c r="F49" s="132">
        <f>F45+F46</f>
        <v>13.179264615384616</v>
      </c>
      <c r="G49" s="133"/>
      <c r="H49" s="270" t="s">
        <v>305</v>
      </c>
      <c r="I49" s="271"/>
      <c r="J49" s="271"/>
      <c r="K49" s="271"/>
      <c r="L49" s="272"/>
      <c r="M49" s="132">
        <f>M45+M46</f>
        <v>13.179264615384616</v>
      </c>
    </row>
    <row r="50" spans="1:13" x14ac:dyDescent="0.25">
      <c r="A50" s="283" t="s">
        <v>306</v>
      </c>
      <c r="B50" s="284"/>
      <c r="C50" s="284"/>
      <c r="D50" s="284"/>
      <c r="E50" s="284"/>
      <c r="F50" s="285"/>
      <c r="G50" s="133"/>
      <c r="H50" s="283" t="s">
        <v>306</v>
      </c>
      <c r="I50" s="284"/>
      <c r="J50" s="284"/>
      <c r="K50" s="284"/>
      <c r="L50" s="284"/>
      <c r="M50" s="285"/>
    </row>
    <row r="51" spans="1:13" x14ac:dyDescent="0.25">
      <c r="A51" s="266" t="s">
        <v>454</v>
      </c>
      <c r="B51" s="267"/>
      <c r="C51" s="130" t="s">
        <v>69</v>
      </c>
      <c r="D51" s="142">
        <f>1/8</f>
        <v>0.125</v>
      </c>
      <c r="E51" s="132">
        <f>Cuadrillas!$K$341</f>
        <v>0</v>
      </c>
      <c r="F51" s="132">
        <f>D51*E51</f>
        <v>0</v>
      </c>
      <c r="G51" s="133"/>
      <c r="H51" s="266" t="s">
        <v>454</v>
      </c>
      <c r="I51" s="267"/>
      <c r="J51" s="130" t="s">
        <v>69</v>
      </c>
      <c r="K51" s="142">
        <f>1/8</f>
        <v>0.125</v>
      </c>
      <c r="L51" s="132">
        <f>Cuadrillas!$K$341</f>
        <v>0</v>
      </c>
      <c r="M51" s="132">
        <f>K51*L51</f>
        <v>0</v>
      </c>
    </row>
    <row r="52" spans="1:13" x14ac:dyDescent="0.25">
      <c r="A52" s="266" t="s">
        <v>455</v>
      </c>
      <c r="B52" s="267"/>
      <c r="C52" s="130" t="s">
        <v>69</v>
      </c>
      <c r="D52" s="142">
        <f>0.0235*10</f>
        <v>0.23499999999999999</v>
      </c>
      <c r="E52" s="132">
        <f>Cuadrillas!$E$18</f>
        <v>0</v>
      </c>
      <c r="F52" s="132">
        <f>D52*E52</f>
        <v>0</v>
      </c>
      <c r="G52" s="133"/>
      <c r="H52" s="266" t="s">
        <v>455</v>
      </c>
      <c r="I52" s="267"/>
      <c r="J52" s="130" t="s">
        <v>69</v>
      </c>
      <c r="K52" s="142">
        <f>0.0235*10</f>
        <v>0.23499999999999999</v>
      </c>
      <c r="L52" s="132">
        <f>Cuadrillas!$E$18</f>
        <v>0</v>
      </c>
      <c r="M52" s="132">
        <f>K52*L52</f>
        <v>0</v>
      </c>
    </row>
    <row r="53" spans="1:13" x14ac:dyDescent="0.25">
      <c r="A53" s="129" t="s">
        <v>439</v>
      </c>
      <c r="B53" s="130"/>
      <c r="C53" s="130" t="s">
        <v>369</v>
      </c>
      <c r="D53" s="142">
        <f>4/8</f>
        <v>0.5</v>
      </c>
      <c r="E53" s="132">
        <f>Equipo!$I$114</f>
        <v>20.931172881355934</v>
      </c>
      <c r="F53" s="132">
        <f>D53*E53</f>
        <v>10.465586440677967</v>
      </c>
      <c r="G53" s="139"/>
      <c r="H53" s="129" t="s">
        <v>439</v>
      </c>
      <c r="I53" s="130"/>
      <c r="J53" s="130" t="s">
        <v>369</v>
      </c>
      <c r="K53" s="142">
        <f>4/8</f>
        <v>0.5</v>
      </c>
      <c r="L53" s="132">
        <f>Equipo!$I$114</f>
        <v>20.931172881355934</v>
      </c>
      <c r="M53" s="132">
        <f>K53*L53</f>
        <v>10.465586440677967</v>
      </c>
    </row>
    <row r="54" spans="1:13" x14ac:dyDescent="0.25">
      <c r="A54" s="270" t="s">
        <v>305</v>
      </c>
      <c r="B54" s="271"/>
      <c r="C54" s="271"/>
      <c r="D54" s="271"/>
      <c r="E54" s="272"/>
      <c r="F54" s="132">
        <f>F51+F52+F53</f>
        <v>10.465586440677967</v>
      </c>
      <c r="G54" s="139"/>
      <c r="H54" s="270" t="s">
        <v>305</v>
      </c>
      <c r="I54" s="271"/>
      <c r="J54" s="271"/>
      <c r="K54" s="271"/>
      <c r="L54" s="272"/>
      <c r="M54" s="132">
        <f>M51+M52+M53</f>
        <v>10.465586440677967</v>
      </c>
    </row>
    <row r="55" spans="1:13" x14ac:dyDescent="0.25">
      <c r="A55" s="273" t="s">
        <v>307</v>
      </c>
      <c r="B55" s="274"/>
      <c r="C55" s="271"/>
      <c r="D55" s="271"/>
      <c r="E55" s="272"/>
      <c r="F55" s="132">
        <f>F49+F54</f>
        <v>23.644851056062585</v>
      </c>
      <c r="G55" s="133"/>
      <c r="H55" s="273" t="s">
        <v>307</v>
      </c>
      <c r="I55" s="274"/>
      <c r="J55" s="271"/>
      <c r="K55" s="271"/>
      <c r="L55" s="272"/>
      <c r="M55" s="132">
        <f>M49+M54</f>
        <v>23.644851056062585</v>
      </c>
    </row>
    <row r="56" spans="1:13" x14ac:dyDescent="0.25">
      <c r="A56" s="133"/>
      <c r="B56" s="133"/>
      <c r="C56" s="133"/>
      <c r="D56" s="133"/>
      <c r="E56" s="133"/>
      <c r="F56" s="133"/>
      <c r="G56" s="141"/>
      <c r="H56" s="133"/>
      <c r="I56" s="133"/>
      <c r="J56" s="133"/>
      <c r="K56" s="133"/>
      <c r="L56" s="133"/>
      <c r="M56" s="133"/>
    </row>
    <row r="57" spans="1:13" x14ac:dyDescent="0.25">
      <c r="A57" s="133"/>
      <c r="B57" s="133"/>
      <c r="C57" s="133"/>
      <c r="D57" s="133"/>
      <c r="E57" s="133"/>
      <c r="F57" s="133"/>
      <c r="G57" s="141"/>
      <c r="H57" s="133"/>
      <c r="I57" s="133"/>
      <c r="J57" s="133"/>
      <c r="K57" s="133"/>
      <c r="L57" s="133"/>
      <c r="M57" s="133"/>
    </row>
    <row r="58" spans="1:13" x14ac:dyDescent="0.25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</row>
    <row r="59" spans="1:13" x14ac:dyDescent="0.25">
      <c r="A59" s="277" t="s">
        <v>464</v>
      </c>
      <c r="B59" s="278"/>
      <c r="C59" s="278"/>
      <c r="D59" s="278"/>
      <c r="E59" s="278"/>
      <c r="F59" s="279"/>
      <c r="G59" s="140"/>
      <c r="H59" s="277" t="s">
        <v>465</v>
      </c>
      <c r="I59" s="278"/>
      <c r="J59" s="278"/>
      <c r="K59" s="278"/>
      <c r="L59" s="278"/>
      <c r="M59" s="279"/>
    </row>
    <row r="60" spans="1:13" x14ac:dyDescent="0.25">
      <c r="A60" s="280" t="s">
        <v>458</v>
      </c>
      <c r="B60" s="281"/>
      <c r="C60" s="281"/>
      <c r="D60" s="281"/>
      <c r="E60" s="281"/>
      <c r="F60" s="282"/>
      <c r="G60" s="140"/>
      <c r="H60" s="280" t="s">
        <v>458</v>
      </c>
      <c r="I60" s="281"/>
      <c r="J60" s="281"/>
      <c r="K60" s="281"/>
      <c r="L60" s="281"/>
      <c r="M60" s="282"/>
    </row>
    <row r="61" spans="1:13" x14ac:dyDescent="0.25">
      <c r="A61" s="268" t="s">
        <v>355</v>
      </c>
      <c r="B61" s="269"/>
      <c r="C61" s="128" t="s">
        <v>292</v>
      </c>
      <c r="D61" s="128" t="s">
        <v>293</v>
      </c>
      <c r="E61" s="128" t="s">
        <v>294</v>
      </c>
      <c r="F61" s="128" t="s">
        <v>295</v>
      </c>
      <c r="G61" s="133"/>
      <c r="H61" s="268" t="s">
        <v>355</v>
      </c>
      <c r="I61" s="269"/>
      <c r="J61" s="128" t="s">
        <v>292</v>
      </c>
      <c r="K61" s="128" t="s">
        <v>293</v>
      </c>
      <c r="L61" s="128" t="s">
        <v>294</v>
      </c>
      <c r="M61" s="128" t="s">
        <v>295</v>
      </c>
    </row>
    <row r="62" spans="1:13" x14ac:dyDescent="0.25">
      <c r="A62" s="129" t="s">
        <v>450</v>
      </c>
      <c r="B62" s="130" t="s">
        <v>436</v>
      </c>
      <c r="C62" s="131" t="s">
        <v>300</v>
      </c>
      <c r="D62" s="130">
        <f>1*1.05</f>
        <v>1.05</v>
      </c>
      <c r="E62" s="132">
        <f>'Conc. Imp'!F71</f>
        <v>12.551680586080586</v>
      </c>
      <c r="F62" s="132">
        <f>D62*E62</f>
        <v>13.179264615384616</v>
      </c>
      <c r="G62" s="133"/>
      <c r="H62" s="129" t="s">
        <v>451</v>
      </c>
      <c r="I62" s="130" t="s">
        <v>436</v>
      </c>
      <c r="J62" s="131" t="s">
        <v>300</v>
      </c>
      <c r="K62" s="130">
        <f>1*1.05</f>
        <v>1.05</v>
      </c>
      <c r="L62" s="132">
        <f>'Conc. Imp'!M71</f>
        <v>12.551680586080586</v>
      </c>
      <c r="M62" s="132">
        <f>K62*L62</f>
        <v>13.179264615384616</v>
      </c>
    </row>
    <row r="63" spans="1:13" x14ac:dyDescent="0.25">
      <c r="A63" s="129" t="s">
        <v>287</v>
      </c>
      <c r="B63" s="130" t="s">
        <v>438</v>
      </c>
      <c r="C63" s="131" t="s">
        <v>300</v>
      </c>
      <c r="D63" s="130">
        <f>0.8*1.2</f>
        <v>0.96</v>
      </c>
      <c r="E63" s="132">
        <f>'Precios de Mat.'!$B$16</f>
        <v>0</v>
      </c>
      <c r="F63" s="132">
        <f>D63*E63</f>
        <v>0</v>
      </c>
      <c r="G63" s="133"/>
      <c r="H63" s="129" t="s">
        <v>287</v>
      </c>
      <c r="I63" s="130" t="s">
        <v>438</v>
      </c>
      <c r="J63" s="131" t="s">
        <v>300</v>
      </c>
      <c r="K63" s="130">
        <f>0.8*1.2</f>
        <v>0.96</v>
      </c>
      <c r="L63" s="132">
        <f>'Precios de Mat.'!$B$16</f>
        <v>0</v>
      </c>
      <c r="M63" s="132">
        <f>K63*L63</f>
        <v>0</v>
      </c>
    </row>
    <row r="64" spans="1:13" x14ac:dyDescent="0.25">
      <c r="A64" s="129"/>
      <c r="B64" s="134"/>
      <c r="C64" s="131"/>
      <c r="D64" s="135"/>
      <c r="E64" s="132"/>
      <c r="F64" s="132"/>
      <c r="G64" s="133"/>
      <c r="H64" s="129"/>
      <c r="I64" s="134"/>
      <c r="J64" s="131"/>
      <c r="K64" s="135"/>
      <c r="L64" s="132"/>
      <c r="M64" s="132"/>
    </row>
    <row r="65" spans="1:13" x14ac:dyDescent="0.25">
      <c r="A65" s="129"/>
      <c r="B65" s="136"/>
      <c r="C65" s="131"/>
      <c r="D65" s="137"/>
      <c r="E65" s="132"/>
      <c r="F65" s="132"/>
      <c r="G65" s="133"/>
      <c r="H65" s="129"/>
      <c r="I65" s="136"/>
      <c r="J65" s="131"/>
      <c r="K65" s="137"/>
      <c r="L65" s="132"/>
      <c r="M65" s="132"/>
    </row>
    <row r="66" spans="1:13" x14ac:dyDescent="0.25">
      <c r="A66" s="270" t="s">
        <v>305</v>
      </c>
      <c r="B66" s="271"/>
      <c r="C66" s="271"/>
      <c r="D66" s="271"/>
      <c r="E66" s="272"/>
      <c r="F66" s="132">
        <f>F62+F63</f>
        <v>13.179264615384616</v>
      </c>
      <c r="G66" s="133"/>
      <c r="H66" s="270" t="s">
        <v>305</v>
      </c>
      <c r="I66" s="271"/>
      <c r="J66" s="271"/>
      <c r="K66" s="271"/>
      <c r="L66" s="272"/>
      <c r="M66" s="132">
        <f>M62+M63</f>
        <v>13.179264615384616</v>
      </c>
    </row>
    <row r="67" spans="1:13" x14ac:dyDescent="0.25">
      <c r="A67" s="283" t="s">
        <v>306</v>
      </c>
      <c r="B67" s="284"/>
      <c r="C67" s="284"/>
      <c r="D67" s="284"/>
      <c r="E67" s="284"/>
      <c r="F67" s="285"/>
      <c r="G67" s="133"/>
      <c r="H67" s="283" t="s">
        <v>306</v>
      </c>
      <c r="I67" s="284"/>
      <c r="J67" s="284"/>
      <c r="K67" s="284"/>
      <c r="L67" s="284"/>
      <c r="M67" s="285"/>
    </row>
    <row r="68" spans="1:13" x14ac:dyDescent="0.25">
      <c r="A68" s="266" t="s">
        <v>454</v>
      </c>
      <c r="B68" s="267"/>
      <c r="C68" s="130" t="s">
        <v>69</v>
      </c>
      <c r="D68" s="142">
        <f>1/8</f>
        <v>0.125</v>
      </c>
      <c r="E68" s="132">
        <f>Cuadrillas!$K$341</f>
        <v>0</v>
      </c>
      <c r="F68" s="132">
        <f>D68*E68</f>
        <v>0</v>
      </c>
      <c r="G68" s="133"/>
      <c r="H68" s="266" t="s">
        <v>454</v>
      </c>
      <c r="I68" s="267"/>
      <c r="J68" s="130" t="s">
        <v>69</v>
      </c>
      <c r="K68" s="142">
        <f>1/8</f>
        <v>0.125</v>
      </c>
      <c r="L68" s="132">
        <f>Cuadrillas!$K$341</f>
        <v>0</v>
      </c>
      <c r="M68" s="132">
        <f>K68*L68</f>
        <v>0</v>
      </c>
    </row>
    <row r="69" spans="1:13" x14ac:dyDescent="0.25">
      <c r="A69" s="266" t="s">
        <v>455</v>
      </c>
      <c r="B69" s="267"/>
      <c r="C69" s="130" t="s">
        <v>69</v>
      </c>
      <c r="D69" s="142">
        <f>0.0235*10</f>
        <v>0.23499999999999999</v>
      </c>
      <c r="E69" s="132">
        <f>Cuadrillas!$E$18</f>
        <v>0</v>
      </c>
      <c r="F69" s="132">
        <f>D69*E69</f>
        <v>0</v>
      </c>
      <c r="G69" s="133"/>
      <c r="H69" s="266" t="s">
        <v>455</v>
      </c>
      <c r="I69" s="267"/>
      <c r="J69" s="130" t="s">
        <v>69</v>
      </c>
      <c r="K69" s="142">
        <f>0.0235*10</f>
        <v>0.23499999999999999</v>
      </c>
      <c r="L69" s="132">
        <f>Cuadrillas!$E$18</f>
        <v>0</v>
      </c>
      <c r="M69" s="132">
        <f>K69*L69</f>
        <v>0</v>
      </c>
    </row>
    <row r="70" spans="1:13" x14ac:dyDescent="0.25">
      <c r="A70" s="129" t="s">
        <v>439</v>
      </c>
      <c r="B70" s="130"/>
      <c r="C70" s="130" t="s">
        <v>369</v>
      </c>
      <c r="D70" s="142">
        <f>4/8</f>
        <v>0.5</v>
      </c>
      <c r="E70" s="132">
        <f>Equipo!$I$114</f>
        <v>20.931172881355934</v>
      </c>
      <c r="F70" s="132">
        <f>D70*E70</f>
        <v>10.465586440677967</v>
      </c>
      <c r="G70" s="139"/>
      <c r="H70" s="129" t="s">
        <v>439</v>
      </c>
      <c r="I70" s="130"/>
      <c r="J70" s="130" t="s">
        <v>369</v>
      </c>
      <c r="K70" s="142">
        <f>4/8</f>
        <v>0.5</v>
      </c>
      <c r="L70" s="132">
        <f>Equipo!$I$114</f>
        <v>20.931172881355934</v>
      </c>
      <c r="M70" s="132">
        <f>K70*L70</f>
        <v>10.465586440677967</v>
      </c>
    </row>
    <row r="71" spans="1:13" x14ac:dyDescent="0.25">
      <c r="A71" s="270" t="s">
        <v>305</v>
      </c>
      <c r="B71" s="271"/>
      <c r="C71" s="271"/>
      <c r="D71" s="271"/>
      <c r="E71" s="272"/>
      <c r="F71" s="132">
        <f>F68+F69+F70</f>
        <v>10.465586440677967</v>
      </c>
      <c r="G71" s="139"/>
      <c r="H71" s="270" t="s">
        <v>305</v>
      </c>
      <c r="I71" s="271"/>
      <c r="J71" s="271"/>
      <c r="K71" s="271"/>
      <c r="L71" s="272"/>
      <c r="M71" s="132">
        <f>M68+M69+M70</f>
        <v>10.465586440677967</v>
      </c>
    </row>
    <row r="72" spans="1:13" x14ac:dyDescent="0.25">
      <c r="A72" s="273" t="s">
        <v>307</v>
      </c>
      <c r="B72" s="274"/>
      <c r="C72" s="271"/>
      <c r="D72" s="271"/>
      <c r="E72" s="272"/>
      <c r="F72" s="132">
        <f>F66+F71</f>
        <v>23.644851056062585</v>
      </c>
      <c r="G72" s="133"/>
      <c r="H72" s="273" t="s">
        <v>307</v>
      </c>
      <c r="I72" s="274"/>
      <c r="J72" s="271"/>
      <c r="K72" s="271"/>
      <c r="L72" s="272"/>
      <c r="M72" s="132">
        <f>M66+M71</f>
        <v>23.644851056062585</v>
      </c>
    </row>
    <row r="73" spans="1:13" x14ac:dyDescent="0.25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</row>
    <row r="74" spans="1:13" x14ac:dyDescent="0.25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</row>
    <row r="75" spans="1:13" x14ac:dyDescent="0.25">
      <c r="A75" s="144"/>
      <c r="B75" s="144"/>
      <c r="C75" s="144"/>
      <c r="D75" s="144"/>
      <c r="E75" s="144"/>
      <c r="F75" s="144"/>
      <c r="G75" s="141"/>
      <c r="H75" s="141"/>
      <c r="I75" s="141"/>
      <c r="J75" s="141"/>
      <c r="K75" s="141"/>
      <c r="L75" s="141"/>
      <c r="M75" s="141"/>
    </row>
    <row r="76" spans="1:13" x14ac:dyDescent="0.25">
      <c r="A76" s="277" t="s">
        <v>466</v>
      </c>
      <c r="B76" s="278"/>
      <c r="C76" s="278"/>
      <c r="D76" s="278"/>
      <c r="E76" s="278"/>
      <c r="F76" s="279"/>
      <c r="G76" s="141"/>
      <c r="H76" s="141"/>
      <c r="I76" s="141"/>
      <c r="J76" s="141"/>
      <c r="K76" s="141"/>
      <c r="L76" s="141"/>
      <c r="M76" s="141"/>
    </row>
    <row r="77" spans="1:13" x14ac:dyDescent="0.25">
      <c r="A77" s="280" t="s">
        <v>458</v>
      </c>
      <c r="B77" s="281"/>
      <c r="C77" s="281"/>
      <c r="D77" s="281"/>
      <c r="E77" s="281"/>
      <c r="F77" s="282"/>
      <c r="G77" s="141"/>
      <c r="H77" s="141"/>
      <c r="I77" s="141"/>
      <c r="J77" s="141"/>
      <c r="K77" s="141"/>
      <c r="L77" s="141"/>
      <c r="M77" s="141"/>
    </row>
    <row r="78" spans="1:13" x14ac:dyDescent="0.25">
      <c r="A78" s="268" t="s">
        <v>355</v>
      </c>
      <c r="B78" s="269"/>
      <c r="C78" s="128" t="s">
        <v>292</v>
      </c>
      <c r="D78" s="128" t="s">
        <v>293</v>
      </c>
      <c r="E78" s="128" t="s">
        <v>294</v>
      </c>
      <c r="F78" s="128" t="s">
        <v>295</v>
      </c>
      <c r="G78" s="141"/>
      <c r="H78" s="141"/>
      <c r="I78" s="141"/>
      <c r="J78" s="141"/>
      <c r="K78" s="141"/>
      <c r="L78" s="141"/>
      <c r="M78" s="141"/>
    </row>
    <row r="79" spans="1:13" x14ac:dyDescent="0.25">
      <c r="A79" s="129" t="s">
        <v>453</v>
      </c>
      <c r="B79" s="130" t="s">
        <v>436</v>
      </c>
      <c r="C79" s="131" t="s">
        <v>300</v>
      </c>
      <c r="D79" s="130">
        <f>1*1.05</f>
        <v>1.05</v>
      </c>
      <c r="E79" s="132">
        <f>'Conc. Imp'!F88</f>
        <v>12.551680586080586</v>
      </c>
      <c r="F79" s="132">
        <f>D79*E79</f>
        <v>13.179264615384616</v>
      </c>
      <c r="G79" s="141"/>
      <c r="H79" s="141"/>
      <c r="I79" s="141"/>
      <c r="J79" s="141"/>
      <c r="K79" s="141"/>
      <c r="L79" s="141"/>
      <c r="M79" s="141"/>
    </row>
    <row r="80" spans="1:13" x14ac:dyDescent="0.25">
      <c r="A80" s="129" t="s">
        <v>287</v>
      </c>
      <c r="B80" s="130" t="s">
        <v>438</v>
      </c>
      <c r="C80" s="131" t="s">
        <v>300</v>
      </c>
      <c r="D80" s="130">
        <f>0.8*1.2</f>
        <v>0.96</v>
      </c>
      <c r="E80" s="132">
        <f>'Precios de Mat.'!$B$16</f>
        <v>0</v>
      </c>
      <c r="F80" s="132">
        <f>D80*E80</f>
        <v>0</v>
      </c>
      <c r="G80" s="141"/>
      <c r="H80" s="141"/>
      <c r="I80" s="141"/>
      <c r="J80" s="141"/>
      <c r="K80" s="141"/>
      <c r="L80" s="141"/>
      <c r="M80" s="141"/>
    </row>
    <row r="81" spans="1:13" x14ac:dyDescent="0.25">
      <c r="A81" s="129"/>
      <c r="B81" s="134"/>
      <c r="C81" s="131"/>
      <c r="D81" s="135"/>
      <c r="E81" s="132"/>
      <c r="F81" s="132"/>
      <c r="G81" s="141"/>
      <c r="H81" s="141"/>
      <c r="I81" s="141"/>
      <c r="J81" s="141"/>
      <c r="K81" s="141"/>
      <c r="L81" s="141"/>
      <c r="M81" s="141"/>
    </row>
    <row r="82" spans="1:13" x14ac:dyDescent="0.25">
      <c r="A82" s="129"/>
      <c r="B82" s="136"/>
      <c r="C82" s="131"/>
      <c r="D82" s="137"/>
      <c r="E82" s="132"/>
      <c r="F82" s="132"/>
      <c r="G82" s="141"/>
      <c r="H82" s="141"/>
      <c r="I82" s="141"/>
      <c r="J82" s="141"/>
      <c r="K82" s="141"/>
      <c r="L82" s="141"/>
      <c r="M82" s="141"/>
    </row>
    <row r="83" spans="1:13" x14ac:dyDescent="0.25">
      <c r="A83" s="270" t="s">
        <v>305</v>
      </c>
      <c r="B83" s="271"/>
      <c r="C83" s="271"/>
      <c r="D83" s="271"/>
      <c r="E83" s="272"/>
      <c r="F83" s="132">
        <f>F79+F80</f>
        <v>13.179264615384616</v>
      </c>
      <c r="G83" s="141"/>
      <c r="H83" s="141"/>
      <c r="I83" s="141"/>
      <c r="J83" s="141"/>
      <c r="K83" s="141"/>
      <c r="L83" s="141"/>
      <c r="M83" s="141"/>
    </row>
    <row r="84" spans="1:13" x14ac:dyDescent="0.25">
      <c r="A84" s="283" t="s">
        <v>306</v>
      </c>
      <c r="B84" s="284"/>
      <c r="C84" s="284"/>
      <c r="D84" s="284"/>
      <c r="E84" s="284"/>
      <c r="F84" s="285"/>
      <c r="G84" s="141"/>
      <c r="H84" s="141"/>
      <c r="I84" s="141"/>
      <c r="J84" s="141"/>
      <c r="K84" s="141"/>
      <c r="L84" s="141"/>
      <c r="M84" s="141"/>
    </row>
    <row r="85" spans="1:13" x14ac:dyDescent="0.25">
      <c r="A85" s="266" t="s">
        <v>454</v>
      </c>
      <c r="B85" s="267"/>
      <c r="C85" s="130" t="s">
        <v>69</v>
      </c>
      <c r="D85" s="142">
        <f>1/8</f>
        <v>0.125</v>
      </c>
      <c r="E85" s="132">
        <f>Cuadrillas!$K$341</f>
        <v>0</v>
      </c>
      <c r="F85" s="132">
        <f>D85*E85</f>
        <v>0</v>
      </c>
      <c r="G85" s="141"/>
      <c r="H85" s="141"/>
      <c r="I85" s="141"/>
      <c r="J85" s="141"/>
      <c r="K85" s="141"/>
      <c r="L85" s="141"/>
      <c r="M85" s="141"/>
    </row>
    <row r="86" spans="1:13" x14ac:dyDescent="0.25">
      <c r="A86" s="266" t="s">
        <v>455</v>
      </c>
      <c r="B86" s="267"/>
      <c r="C86" s="130" t="s">
        <v>69</v>
      </c>
      <c r="D86" s="142">
        <f>0.0235*10</f>
        <v>0.23499999999999999</v>
      </c>
      <c r="E86" s="132">
        <f>Cuadrillas!$E$18</f>
        <v>0</v>
      </c>
      <c r="F86" s="132">
        <f>D86*E86</f>
        <v>0</v>
      </c>
      <c r="G86" s="141"/>
      <c r="H86" s="141"/>
      <c r="I86" s="141"/>
      <c r="J86" s="141"/>
      <c r="K86" s="141"/>
      <c r="L86" s="141"/>
      <c r="M86" s="141"/>
    </row>
    <row r="87" spans="1:13" x14ac:dyDescent="0.25">
      <c r="A87" s="129" t="s">
        <v>439</v>
      </c>
      <c r="B87" s="130"/>
      <c r="C87" s="130" t="s">
        <v>369</v>
      </c>
      <c r="D87" s="142">
        <f>4/8</f>
        <v>0.5</v>
      </c>
      <c r="E87" s="132">
        <f>Equipo!$I$114</f>
        <v>20.931172881355934</v>
      </c>
      <c r="F87" s="132">
        <f>D87*E87</f>
        <v>10.465586440677967</v>
      </c>
      <c r="G87" s="141"/>
      <c r="H87" s="141"/>
      <c r="I87" s="141"/>
      <c r="J87" s="141"/>
      <c r="K87" s="141"/>
      <c r="L87" s="141"/>
      <c r="M87" s="141"/>
    </row>
    <row r="88" spans="1:13" x14ac:dyDescent="0.25">
      <c r="A88" s="270" t="s">
        <v>305</v>
      </c>
      <c r="B88" s="271"/>
      <c r="C88" s="271"/>
      <c r="D88" s="271"/>
      <c r="E88" s="272"/>
      <c r="F88" s="132">
        <f>F85+F86+F87</f>
        <v>10.465586440677967</v>
      </c>
      <c r="G88" s="141"/>
      <c r="H88" s="141"/>
      <c r="I88" s="141"/>
      <c r="J88" s="141"/>
      <c r="K88" s="141"/>
      <c r="L88" s="141"/>
      <c r="M88" s="141"/>
    </row>
    <row r="89" spans="1:13" x14ac:dyDescent="0.25">
      <c r="A89" s="273" t="s">
        <v>307</v>
      </c>
      <c r="B89" s="274"/>
      <c r="C89" s="271"/>
      <c r="D89" s="271"/>
      <c r="E89" s="272"/>
      <c r="F89" s="132">
        <f>F83+F88</f>
        <v>23.644851056062585</v>
      </c>
      <c r="G89" s="141"/>
      <c r="H89" s="141"/>
      <c r="I89" s="141"/>
      <c r="J89" s="141"/>
      <c r="K89" s="141"/>
      <c r="L89" s="141"/>
      <c r="M89" s="141"/>
    </row>
    <row r="90" spans="1:13" x14ac:dyDescent="0.25">
      <c r="A90" s="125"/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</sheetData>
  <mergeCells count="86">
    <mergeCell ref="A8:F8"/>
    <mergeCell ref="H8:M8"/>
    <mergeCell ref="A9:F9"/>
    <mergeCell ref="H9:M9"/>
    <mergeCell ref="A10:B10"/>
    <mergeCell ref="H10:I10"/>
    <mergeCell ref="H26:M26"/>
    <mergeCell ref="A15:E15"/>
    <mergeCell ref="H15:L15"/>
    <mergeCell ref="A16:F16"/>
    <mergeCell ref="H16:M16"/>
    <mergeCell ref="A20:E20"/>
    <mergeCell ref="H20:L20"/>
    <mergeCell ref="A37:E37"/>
    <mergeCell ref="H37:L37"/>
    <mergeCell ref="A38:E38"/>
    <mergeCell ref="H38:L38"/>
    <mergeCell ref="A42:F42"/>
    <mergeCell ref="H42:M42"/>
    <mergeCell ref="A43:F43"/>
    <mergeCell ref="H43:M43"/>
    <mergeCell ref="A44:B44"/>
    <mergeCell ref="H44:I44"/>
    <mergeCell ref="A49:E49"/>
    <mergeCell ref="H49:L49"/>
    <mergeCell ref="H60:M60"/>
    <mergeCell ref="A61:B61"/>
    <mergeCell ref="H61:I61"/>
    <mergeCell ref="A50:F50"/>
    <mergeCell ref="H50:M50"/>
    <mergeCell ref="A54:E54"/>
    <mergeCell ref="H54:L54"/>
    <mergeCell ref="A55:E55"/>
    <mergeCell ref="H55:L55"/>
    <mergeCell ref="A51:B51"/>
    <mergeCell ref="A52:B52"/>
    <mergeCell ref="H51:I51"/>
    <mergeCell ref="H52:I52"/>
    <mergeCell ref="A88:E88"/>
    <mergeCell ref="A89:E89"/>
    <mergeCell ref="A6:M6"/>
    <mergeCell ref="A17:B17"/>
    <mergeCell ref="A18:B18"/>
    <mergeCell ref="H17:I17"/>
    <mergeCell ref="H18:I18"/>
    <mergeCell ref="A34:B34"/>
    <mergeCell ref="A35:B35"/>
    <mergeCell ref="A76:F76"/>
    <mergeCell ref="H71:L71"/>
    <mergeCell ref="A72:E72"/>
    <mergeCell ref="H72:L72"/>
    <mergeCell ref="A66:E66"/>
    <mergeCell ref="H66:L66"/>
    <mergeCell ref="A67:F67"/>
    <mergeCell ref="H35:I35"/>
    <mergeCell ref="A85:B85"/>
    <mergeCell ref="A86:B86"/>
    <mergeCell ref="A68:B68"/>
    <mergeCell ref="A69:B69"/>
    <mergeCell ref="A84:F84"/>
    <mergeCell ref="A77:F77"/>
    <mergeCell ref="A78:B78"/>
    <mergeCell ref="A83:E83"/>
    <mergeCell ref="H67:M67"/>
    <mergeCell ref="H68:I68"/>
    <mergeCell ref="H69:I69"/>
    <mergeCell ref="A71:E71"/>
    <mergeCell ref="A59:F59"/>
    <mergeCell ref="H59:M59"/>
    <mergeCell ref="A60:F60"/>
    <mergeCell ref="A1:M1"/>
    <mergeCell ref="A2:M2"/>
    <mergeCell ref="A3:M3"/>
    <mergeCell ref="A4:M4"/>
    <mergeCell ref="H34:I34"/>
    <mergeCell ref="A27:B27"/>
    <mergeCell ref="H27:I27"/>
    <mergeCell ref="A32:E32"/>
    <mergeCell ref="H32:L32"/>
    <mergeCell ref="A33:F33"/>
    <mergeCell ref="H33:M33"/>
    <mergeCell ref="A21:E21"/>
    <mergeCell ref="H21:L21"/>
    <mergeCell ref="A25:F25"/>
    <mergeCell ref="H25:M25"/>
    <mergeCell ref="A26:F26"/>
  </mergeCells>
  <phoneticPr fontId="0" type="noConversion"/>
  <pageMargins left="0.75" right="0.75" top="0.23" bottom="1" header="0" footer="0"/>
  <pageSetup scale="7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Salarios</vt:lpstr>
      <vt:lpstr>Cuadrillas</vt:lpstr>
      <vt:lpstr>Precios de Mat.</vt:lpstr>
      <vt:lpstr>Equipo</vt:lpstr>
      <vt:lpstr>Morteros</vt:lpstr>
      <vt:lpstr>Conc. resist. norm</vt:lpstr>
      <vt:lpstr>Conc. Imp</vt:lpstr>
      <vt:lpstr>Conc. Norm. Cim</vt:lpstr>
      <vt:lpstr>Conc. Imp. Cim</vt:lpstr>
      <vt:lpstr>Conc. Norm. Estruc</vt:lpstr>
      <vt:lpstr>Conc. Imp. Estruc</vt:lpstr>
      <vt:lpstr>Acero Cim.</vt:lpstr>
      <vt:lpstr>Acero Estruc.</vt:lpstr>
      <vt:lpstr>Cuadrillas!Área_de_impresión</vt:lpstr>
    </vt:vector>
  </TitlesOfParts>
  <Company>Particular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JLG</dc:creator>
  <cp:lastModifiedBy>José Luis Gómez</cp:lastModifiedBy>
  <cp:lastPrinted>2003-03-26T02:10:58Z</cp:lastPrinted>
  <dcterms:created xsi:type="dcterms:W3CDTF">2003-02-12T20:25:14Z</dcterms:created>
  <dcterms:modified xsi:type="dcterms:W3CDTF">2018-01-31T18:19:43Z</dcterms:modified>
</cp:coreProperties>
</file>